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sabella.forsikringogpension.dk/cases/GES93/GES-2017-00347/Dokumenter/"/>
    </mc:Choice>
  </mc:AlternateContent>
  <xr:revisionPtr revIDLastSave="0" documentId="13_ncr:1_{8374ECEB-3374-4F60-A5C9-ACFBA247B23F}" xr6:coauthVersionLast="47" xr6:coauthVersionMax="47" xr10:uidLastSave="{00000000-0000-0000-0000-000000000000}"/>
  <bookViews>
    <workbookView xWindow="1695" yWindow="2910" windowWidth="21600" windowHeight="12855" tabRatio="1000" xr2:uid="{3045F206-9F53-4598-80F8-F9A22D471F00}"/>
  </bookViews>
  <sheets>
    <sheet name="1.a PE buy-out Closed-Ended" sheetId="39" r:id="rId1"/>
    <sheet name="1.b PE buy-out Open-Ended" sheetId="71" r:id="rId2"/>
    <sheet name="1.c PE Venture Closed-Ended" sheetId="40" r:id="rId3"/>
    <sheet name="2.a PE FOF Closed-Ended" sheetId="59" r:id="rId4"/>
    <sheet name="Formlerne for udregningerne" sheetId="5" state="hidden" r:id="rId5"/>
    <sheet name="PE FOF open-ended" sheetId="18" state="hidden" r:id="rId6"/>
    <sheet name="3.a IC FWC Closed-Ended" sheetId="34" r:id="rId7"/>
    <sheet name="3.b IC FWC Open-Ended" sheetId="35" r:id="rId8"/>
    <sheet name="3.c IC PCCL Closed-Ended" sheetId="43" r:id="rId9"/>
    <sheet name="3.d IC OP Closed-Ended" sheetId="45" r:id="rId10"/>
    <sheet name="4.a RE Core Closed-Ended" sheetId="46" r:id="rId11"/>
    <sheet name="4.b RE Core Open-Ended" sheetId="67" r:id="rId12"/>
    <sheet name="RE Core Open-Ended NY" sheetId="64" state="hidden" r:id="rId13"/>
    <sheet name="4.c RE Value-Add Closed-Ended" sheetId="48" r:id="rId14"/>
    <sheet name="4.d RE Opportunistic Closed-End" sheetId="49" r:id="rId15"/>
    <sheet name="5.a INF Core Closed-Ended" sheetId="50" r:id="rId16"/>
    <sheet name="5.b INF Core Open-Ended" sheetId="68" r:id="rId17"/>
    <sheet name="5.c INF Other Closed-Ended" sheetId="51" r:id="rId18"/>
    <sheet name="6.a Forestry Core Closed-Ended" sheetId="54" r:id="rId19"/>
    <sheet name="6.b Forestry Core Open-Ended" sheetId="69" r:id="rId20"/>
    <sheet name="6.c Forestry VA Closed-Ended" sheetId="55" r:id="rId21"/>
    <sheet name="7.a Liquid Alternatives" sheetId="63" r:id="rId22"/>
    <sheet name="7.b Liquid Alternatives - carry" sheetId="56" r:id="rId23"/>
    <sheet name="8.a Direct CO Closed-Ended" sheetId="70" r:id="rId24"/>
    <sheet name="8.b Direct CI Fund Closed-Ended" sheetId="58" r:id="rId25"/>
  </sheets>
  <externalReferences>
    <externalReference r:id="rId26"/>
  </externalReferences>
  <definedNames>
    <definedName name="Co_investments">#REF!</definedName>
    <definedName name="Forrest">#REF!</definedName>
    <definedName name="Hedge_funds_and_other_liquid_alternatives">#REF!</definedName>
    <definedName name="Illiquid_Credit">#REF!</definedName>
    <definedName name="Infrastructure">#REF!</definedName>
    <definedName name="Other_alternative_investments">#REF!</definedName>
    <definedName name="Private_Equity">#REF!</definedName>
    <definedName name="Real_Estate">#REF!</definedName>
    <definedName name="solver_adj" localSheetId="0" hidden="1">'1.a PE buy-out Closed-Ended'!#REF!</definedName>
    <definedName name="solver_adj" localSheetId="1" hidden="1">'1.b PE buy-out Open-Ended'!#REF!</definedName>
    <definedName name="solver_adj" localSheetId="2" hidden="1">'1.c PE Venture Closed-Ended'!#REF!</definedName>
    <definedName name="solver_adj" localSheetId="3" hidden="1">'2.a PE FOF Closed-Ended'!#REF!</definedName>
    <definedName name="solver_adj" localSheetId="8" hidden="1">'3.c IC PCCL Closed-Ended'!#REF!</definedName>
    <definedName name="solver_adj" localSheetId="9" hidden="1">'3.d IC OP Closed-Ended'!#REF!</definedName>
    <definedName name="solver_adj" localSheetId="10" hidden="1">'4.a RE Core Closed-Ended'!#REF!</definedName>
    <definedName name="solver_adj" localSheetId="11" hidden="1">'4.b RE Core Open-Ended'!#REF!</definedName>
    <definedName name="solver_adj" localSheetId="13" hidden="1">'4.c RE Value-Add Closed-Ended'!#REF!</definedName>
    <definedName name="solver_adj" localSheetId="14" hidden="1">'4.d RE Opportunistic Closed-End'!#REF!</definedName>
    <definedName name="solver_adj" localSheetId="15" hidden="1">'5.a INF Core Closed-Ended'!#REF!</definedName>
    <definedName name="solver_adj" localSheetId="16" hidden="1">'5.b INF Core Open-Ended'!#REF!</definedName>
    <definedName name="solver_adj" localSheetId="17" hidden="1">'5.c INF Other Closed-Ended'!#REF!</definedName>
    <definedName name="solver_adj" localSheetId="18" hidden="1">'6.a Forestry Core Closed-Ended'!#REF!</definedName>
    <definedName name="solver_adj" localSheetId="19" hidden="1">'6.b Forestry Core Open-Ended'!#REF!</definedName>
    <definedName name="solver_adj" localSheetId="20" hidden="1">'6.c Forestry VA Closed-Ended'!#REF!</definedName>
    <definedName name="solver_adj" localSheetId="22" hidden="1">'7.b Liquid Alternatives - carry'!#REF!</definedName>
    <definedName name="solver_adj" localSheetId="24" hidden="1">'8.b Direct CI Fund Closed-Ended'!#REF!</definedName>
    <definedName name="solver_adj" localSheetId="12" hidden="1">'RE Core Open-Ended NY'!$M$60</definedName>
    <definedName name="solver_cvg" localSheetId="0" hidden="1">0.0001</definedName>
    <definedName name="solver_cvg" localSheetId="1" hidden="1">"""""""""""""""""""""""""""""""""""""""""""""""""""""""""""""""""""""""""""""""""""""""""""""""""""""""""""""""""""""""""""""""0,0001"""""""""""""""""""""""""""""""""""""""""""""""""""""""""""""""""""""""""""""""""""""""""""""""""""""""""""""""""""""""""""""""</definedName>
    <definedName name="solver_cvg" localSheetId="2" hidden="1">0.0001</definedName>
    <definedName name="solver_cvg" localSheetId="3" hidden="1">0.0001</definedName>
    <definedName name="solver_cvg" localSheetId="8" hidden="1">0.0001</definedName>
    <definedName name="solver_cvg" localSheetId="9" hidden="1">0.0001</definedName>
    <definedName name="solver_cvg" localSheetId="10" hidden="1">0.0001</definedName>
    <definedName name="solver_cvg" localSheetId="11" hidden="1">"""""""""""""""""""""""""""""""""""""""""""""""""""""""""""""""0,0001"""""""""""""""""""""""""""""""""""""""""""""""""""""""""""""""</definedName>
    <definedName name="solver_cvg" localSheetId="13" hidden="1">0.0001</definedName>
    <definedName name="solver_cvg" localSheetId="14" hidden="1">0.0001</definedName>
    <definedName name="solver_cvg" localSheetId="15" hidden="1">0.0001</definedName>
    <definedName name="solver_cvg" localSheetId="16" hidden="1">"""""""""""""""""""""""""""""""""""""""""""""""""""""""""""""""""""""""""""""""""""""""""""""""""""""""""""""""""""""""""""""""0,0001"""""""""""""""""""""""""""""""""""""""""""""""""""""""""""""""""""""""""""""""""""""""""""""""""""""""""""""""""""""""""""""""</definedName>
    <definedName name="solver_cvg" localSheetId="17" hidden="1">0.0001</definedName>
    <definedName name="solver_cvg" localSheetId="18" hidden="1">"""""""""""""""""""""""""""""""""""""""""""""""""""""""""""""""""""""""""""""""""""""""""""""""""""""""""""""""""""""""""""""""0,0001"""""""""""""""""""""""""""""""""""""""""""""""""""""""""""""""""""""""""""""""""""""""""""""""""""""""""""""""""""""""""""""""</definedName>
    <definedName name="solver_cvg" localSheetId="19" hidden="1">"""""""""""""""""""""""""""""""""""""""""""""""""""""""""""""""""""""""""""""""""""""""""""""""""""""""""""""""""""""""""""""""0,0001"""""""""""""""""""""""""""""""""""""""""""""""""""""""""""""""""""""""""""""""""""""""""""""""""""""""""""""""""""""""""""""""</definedName>
    <definedName name="solver_cvg" localSheetId="20" hidden="1">"""""""""""""""""""""""""""""""0,0001"""""""""""""""""""""""""""""""</definedName>
    <definedName name="solver_cvg" localSheetId="22" hidden="1">"""""""""""""""""""""""""""""""0,0001"""""""""""""""""""""""""""""""</definedName>
    <definedName name="solver_cvg" localSheetId="24" hidden="1">"0,0001"</definedName>
    <definedName name="solver_cvg" localSheetId="12" hidden="1">0.0001</definedName>
    <definedName name="solver_drv" localSheetId="0" hidden="1">1</definedName>
    <definedName name="solver_drv" localSheetId="1" hidden="1">2</definedName>
    <definedName name="solver_drv" localSheetId="2" hidden="1">2</definedName>
    <definedName name="solver_drv" localSheetId="3" hidden="1">1</definedName>
    <definedName name="solver_drv" localSheetId="8" hidden="1">1</definedName>
    <definedName name="solver_drv" localSheetId="9" hidden="1">1</definedName>
    <definedName name="solver_drv" localSheetId="10" hidden="1">1</definedName>
    <definedName name="solver_drv" localSheetId="11" hidden="1">2</definedName>
    <definedName name="solver_drv" localSheetId="13" hidden="1">1</definedName>
    <definedName name="solver_drv" localSheetId="14" hidden="1">1</definedName>
    <definedName name="solver_drv" localSheetId="15" hidden="1">1</definedName>
    <definedName name="solver_drv" localSheetId="16" hidden="1">2</definedName>
    <definedName name="solver_drv" localSheetId="17" hidden="1">1</definedName>
    <definedName name="solver_drv" localSheetId="18" hidden="1">1</definedName>
    <definedName name="solver_drv" localSheetId="19" hidden="1">2</definedName>
    <definedName name="solver_drv" localSheetId="20" hidden="1">2</definedName>
    <definedName name="solver_drv" localSheetId="22" hidden="1">2</definedName>
    <definedName name="solver_drv" localSheetId="24" hidden="1">1</definedName>
    <definedName name="solver_drv" localSheetId="12" hidden="1">1</definedName>
    <definedName name="solver_eng" localSheetId="0" hidden="1">1</definedName>
    <definedName name="solver_eng" localSheetId="1" hidden="1">1</definedName>
    <definedName name="solver_eng" localSheetId="2" hidden="1">1</definedName>
    <definedName name="solver_eng" localSheetId="3" hidden="1">1</definedName>
    <definedName name="solver_eng" localSheetId="8" hidden="1">1</definedName>
    <definedName name="solver_eng" localSheetId="9" hidden="1">1</definedName>
    <definedName name="solver_eng" localSheetId="10" hidden="1">1</definedName>
    <definedName name="solver_eng" localSheetId="11" hidden="1">1</definedName>
    <definedName name="solver_eng" localSheetId="13" hidden="1">1</definedName>
    <definedName name="solver_eng" localSheetId="14" hidden="1">1</definedName>
    <definedName name="solver_eng" localSheetId="15" hidden="1">1</definedName>
    <definedName name="solver_eng" localSheetId="16" hidden="1">1</definedName>
    <definedName name="solver_eng" localSheetId="17" hidden="1">1</definedName>
    <definedName name="solver_eng" localSheetId="18" hidden="1">1</definedName>
    <definedName name="solver_eng" localSheetId="19" hidden="1">1</definedName>
    <definedName name="solver_eng" localSheetId="20" hidden="1">1</definedName>
    <definedName name="solver_eng" localSheetId="22" hidden="1">1</definedName>
    <definedName name="solver_eng" localSheetId="24" hidden="1">1</definedName>
    <definedName name="solver_eng" localSheetId="12" hidden="1">1</definedName>
    <definedName name="solver_est" localSheetId="0" hidden="1">1</definedName>
    <definedName name="solver_est" localSheetId="1" hidden="1">1</definedName>
    <definedName name="solver_est" localSheetId="2" hidden="1">1</definedName>
    <definedName name="solver_est" localSheetId="3" hidden="1">1</definedName>
    <definedName name="solver_est" localSheetId="8" hidden="1">1</definedName>
    <definedName name="solver_est" localSheetId="9" hidden="1">1</definedName>
    <definedName name="solver_est" localSheetId="10" hidden="1">1</definedName>
    <definedName name="solver_est" localSheetId="11" hidden="1">1</definedName>
    <definedName name="solver_est" localSheetId="13" hidden="1">1</definedName>
    <definedName name="solver_est" localSheetId="14" hidden="1">1</definedName>
    <definedName name="solver_est" localSheetId="15" hidden="1">1</definedName>
    <definedName name="solver_est" localSheetId="16" hidden="1">1</definedName>
    <definedName name="solver_est" localSheetId="17" hidden="1">1</definedName>
    <definedName name="solver_est" localSheetId="18" hidden="1">1</definedName>
    <definedName name="solver_est" localSheetId="19" hidden="1">1</definedName>
    <definedName name="solver_est" localSheetId="20" hidden="1">1</definedName>
    <definedName name="solver_est" localSheetId="22" hidden="1">1</definedName>
    <definedName name="solver_est" localSheetId="24" hidden="1">1</definedName>
    <definedName name="solver_est" localSheetId="12" hidden="1">1</definedName>
    <definedName name="solver_itr" localSheetId="0" hidden="1">2147483647</definedName>
    <definedName name="solver_itr" localSheetId="1" hidden="1">2147483647</definedName>
    <definedName name="solver_itr" localSheetId="2" hidden="1">2147483647</definedName>
    <definedName name="solver_itr" localSheetId="3" hidden="1">2147483647</definedName>
    <definedName name="solver_itr" localSheetId="8" hidden="1">2147483647</definedName>
    <definedName name="solver_itr" localSheetId="9" hidden="1">2147483647</definedName>
    <definedName name="solver_itr" localSheetId="10" hidden="1">2147483647</definedName>
    <definedName name="solver_itr" localSheetId="11" hidden="1">2147483647</definedName>
    <definedName name="solver_itr" localSheetId="13" hidden="1">2147483647</definedName>
    <definedName name="solver_itr" localSheetId="14" hidden="1">2147483647</definedName>
    <definedName name="solver_itr" localSheetId="15" hidden="1">2147483647</definedName>
    <definedName name="solver_itr" localSheetId="16" hidden="1">2147483647</definedName>
    <definedName name="solver_itr" localSheetId="17" hidden="1">2147483647</definedName>
    <definedName name="solver_itr" localSheetId="18" hidden="1">2147483647</definedName>
    <definedName name="solver_itr" localSheetId="19" hidden="1">2147483647</definedName>
    <definedName name="solver_itr" localSheetId="20" hidden="1">2147483647</definedName>
    <definedName name="solver_itr" localSheetId="22" hidden="1">2147483647</definedName>
    <definedName name="solver_itr" localSheetId="24" hidden="1">2147483647</definedName>
    <definedName name="solver_itr" localSheetId="12" hidden="1">2147483647</definedName>
    <definedName name="solver_mip" localSheetId="0" hidden="1">2147483647</definedName>
    <definedName name="solver_mip" localSheetId="1" hidden="1">2147483647</definedName>
    <definedName name="solver_mip" localSheetId="2" hidden="1">2147483647</definedName>
    <definedName name="solver_mip" localSheetId="3" hidden="1">2147483647</definedName>
    <definedName name="solver_mip" localSheetId="8" hidden="1">2147483647</definedName>
    <definedName name="solver_mip" localSheetId="9" hidden="1">2147483647</definedName>
    <definedName name="solver_mip" localSheetId="10" hidden="1">2147483647</definedName>
    <definedName name="solver_mip" localSheetId="11" hidden="1">2147483647</definedName>
    <definedName name="solver_mip" localSheetId="13" hidden="1">2147483647</definedName>
    <definedName name="solver_mip" localSheetId="14" hidden="1">2147483647</definedName>
    <definedName name="solver_mip" localSheetId="15" hidden="1">2147483647</definedName>
    <definedName name="solver_mip" localSheetId="16" hidden="1">2147483647</definedName>
    <definedName name="solver_mip" localSheetId="17" hidden="1">2147483647</definedName>
    <definedName name="solver_mip" localSheetId="18" hidden="1">2147483647</definedName>
    <definedName name="solver_mip" localSheetId="19" hidden="1">2147483647</definedName>
    <definedName name="solver_mip" localSheetId="20" hidden="1">2147483647</definedName>
    <definedName name="solver_mip" localSheetId="22" hidden="1">2147483647</definedName>
    <definedName name="solver_mip" localSheetId="24" hidden="1">2147483647</definedName>
    <definedName name="solver_mip" localSheetId="12" hidden="1">2147483647</definedName>
    <definedName name="solver_mni" localSheetId="0" hidden="1">30</definedName>
    <definedName name="solver_mni" localSheetId="1" hidden="1">30</definedName>
    <definedName name="solver_mni" localSheetId="2" hidden="1">30</definedName>
    <definedName name="solver_mni" localSheetId="3" hidden="1">30</definedName>
    <definedName name="solver_mni" localSheetId="8" hidden="1">30</definedName>
    <definedName name="solver_mni" localSheetId="9" hidden="1">30</definedName>
    <definedName name="solver_mni" localSheetId="10" hidden="1">30</definedName>
    <definedName name="solver_mni" localSheetId="11" hidden="1">30</definedName>
    <definedName name="solver_mni" localSheetId="13" hidden="1">30</definedName>
    <definedName name="solver_mni" localSheetId="14" hidden="1">30</definedName>
    <definedName name="solver_mni" localSheetId="15" hidden="1">30</definedName>
    <definedName name="solver_mni" localSheetId="16" hidden="1">30</definedName>
    <definedName name="solver_mni" localSheetId="17" hidden="1">30</definedName>
    <definedName name="solver_mni" localSheetId="18" hidden="1">30</definedName>
    <definedName name="solver_mni" localSheetId="19" hidden="1">30</definedName>
    <definedName name="solver_mni" localSheetId="20" hidden="1">30</definedName>
    <definedName name="solver_mni" localSheetId="22" hidden="1">30</definedName>
    <definedName name="solver_mni" localSheetId="24" hidden="1">30</definedName>
    <definedName name="solver_mni" localSheetId="12" hidden="1">30</definedName>
    <definedName name="solver_mrt" localSheetId="0" hidden="1">0.075</definedName>
    <definedName name="solver_mrt" localSheetId="1" hidden="1">"""""""""""""""""""""""""""""""""""""""""""""""""""""""""""""""""""""""""""""""""""""""""""""""""""""""""""""""""""""""""""""""0,075"""""""""""""""""""""""""""""""""""""""""""""""""""""""""""""""""""""""""""""""""""""""""""""""""""""""""""""""""""""""""""""""</definedName>
    <definedName name="solver_mrt" localSheetId="2" hidden="1">0.075</definedName>
    <definedName name="solver_mrt" localSheetId="3" hidden="1">0.075</definedName>
    <definedName name="solver_mrt" localSheetId="8" hidden="1">0.075</definedName>
    <definedName name="solver_mrt" localSheetId="9" hidden="1">0.075</definedName>
    <definedName name="solver_mrt" localSheetId="10" hidden="1">0.075</definedName>
    <definedName name="solver_mrt" localSheetId="11" hidden="1">"""""""""""""""""""""""""""""""""""""""""""""""""""""""""""""""0,075"""""""""""""""""""""""""""""""""""""""""""""""""""""""""""""""</definedName>
    <definedName name="solver_mrt" localSheetId="13" hidden="1">0.075</definedName>
    <definedName name="solver_mrt" localSheetId="14" hidden="1">0.075</definedName>
    <definedName name="solver_mrt" localSheetId="15" hidden="1">0.075</definedName>
    <definedName name="solver_mrt" localSheetId="16" hidden="1">"""""""""""""""""""""""""""""""""""""""""""""""""""""""""""""""""""""""""""""""""""""""""""""""""""""""""""""""""""""""""""""""0,075"""""""""""""""""""""""""""""""""""""""""""""""""""""""""""""""""""""""""""""""""""""""""""""""""""""""""""""""""""""""""""""""</definedName>
    <definedName name="solver_mrt" localSheetId="17" hidden="1">0.075</definedName>
    <definedName name="solver_mrt" localSheetId="18" hidden="1">"""""""""""""""""""""""""""""""""""""""""""""""""""""""""""""""""""""""""""""""""""""""""""""""""""""""""""""""""""""""""""""""0,075"""""""""""""""""""""""""""""""""""""""""""""""""""""""""""""""""""""""""""""""""""""""""""""""""""""""""""""""""""""""""""""""</definedName>
    <definedName name="solver_mrt" localSheetId="19" hidden="1">"""""""""""""""""""""""""""""""""""""""""""""""""""""""""""""""""""""""""""""""""""""""""""""""""""""""""""""""""""""""""""""""0,075"""""""""""""""""""""""""""""""""""""""""""""""""""""""""""""""""""""""""""""""""""""""""""""""""""""""""""""""""""""""""""""""</definedName>
    <definedName name="solver_mrt" localSheetId="20" hidden="1">"""""""""""""""""""""""""""""""0,075"""""""""""""""""""""""""""""""</definedName>
    <definedName name="solver_mrt" localSheetId="22" hidden="1">"""""""""""""""""""""""""""""""0,075"""""""""""""""""""""""""""""""</definedName>
    <definedName name="solver_mrt" localSheetId="24" hidden="1">"0,075"</definedName>
    <definedName name="solver_mrt" localSheetId="12" hidden="1">0.075</definedName>
    <definedName name="solver_msl" localSheetId="0" hidden="1">2</definedName>
    <definedName name="solver_msl" localSheetId="1" hidden="1">2</definedName>
    <definedName name="solver_msl" localSheetId="2" hidden="1">2</definedName>
    <definedName name="solver_msl" localSheetId="3" hidden="1">2</definedName>
    <definedName name="solver_msl" localSheetId="8" hidden="1">2</definedName>
    <definedName name="solver_msl" localSheetId="9" hidden="1">2</definedName>
    <definedName name="solver_msl" localSheetId="10" hidden="1">2</definedName>
    <definedName name="solver_msl" localSheetId="11" hidden="1">2</definedName>
    <definedName name="solver_msl" localSheetId="13" hidden="1">2</definedName>
    <definedName name="solver_msl" localSheetId="14" hidden="1">2</definedName>
    <definedName name="solver_msl" localSheetId="15" hidden="1">2</definedName>
    <definedName name="solver_msl" localSheetId="16" hidden="1">2</definedName>
    <definedName name="solver_msl" localSheetId="17" hidden="1">2</definedName>
    <definedName name="solver_msl" localSheetId="18" hidden="1">2</definedName>
    <definedName name="solver_msl" localSheetId="19" hidden="1">2</definedName>
    <definedName name="solver_msl" localSheetId="20" hidden="1">2</definedName>
    <definedName name="solver_msl" localSheetId="22" hidden="1">2</definedName>
    <definedName name="solver_msl" localSheetId="24" hidden="1">2</definedName>
    <definedName name="solver_msl" localSheetId="12" hidden="1">2</definedName>
    <definedName name="solver_neg" localSheetId="0" hidden="1">1</definedName>
    <definedName name="solver_neg" localSheetId="1" hidden="1">1</definedName>
    <definedName name="solver_neg" localSheetId="2" hidden="1">1</definedName>
    <definedName name="solver_neg" localSheetId="3" hidden="1">1</definedName>
    <definedName name="solver_neg" localSheetId="8" hidden="1">1</definedName>
    <definedName name="solver_neg" localSheetId="9" hidden="1">1</definedName>
    <definedName name="solver_neg" localSheetId="10" hidden="1">1</definedName>
    <definedName name="solver_neg" localSheetId="11" hidden="1">1</definedName>
    <definedName name="solver_neg" localSheetId="13" hidden="1">1</definedName>
    <definedName name="solver_neg" localSheetId="14" hidden="1">1</definedName>
    <definedName name="solver_neg" localSheetId="15" hidden="1">1</definedName>
    <definedName name="solver_neg" localSheetId="16" hidden="1">1</definedName>
    <definedName name="solver_neg" localSheetId="17" hidden="1">1</definedName>
    <definedName name="solver_neg" localSheetId="18" hidden="1">1</definedName>
    <definedName name="solver_neg" localSheetId="19" hidden="1">1</definedName>
    <definedName name="solver_neg" localSheetId="20" hidden="1">1</definedName>
    <definedName name="solver_neg" localSheetId="22" hidden="1">1</definedName>
    <definedName name="solver_neg" localSheetId="24" hidden="1">1</definedName>
    <definedName name="solver_neg" localSheetId="12" hidden="1">1</definedName>
    <definedName name="solver_nod" localSheetId="0" hidden="1">2147483647</definedName>
    <definedName name="solver_nod" localSheetId="1" hidden="1">2147483647</definedName>
    <definedName name="solver_nod" localSheetId="2" hidden="1">2147483647</definedName>
    <definedName name="solver_nod" localSheetId="3" hidden="1">2147483647</definedName>
    <definedName name="solver_nod" localSheetId="8" hidden="1">2147483647</definedName>
    <definedName name="solver_nod" localSheetId="9" hidden="1">2147483647</definedName>
    <definedName name="solver_nod" localSheetId="10" hidden="1">2147483647</definedName>
    <definedName name="solver_nod" localSheetId="11" hidden="1">2147483647</definedName>
    <definedName name="solver_nod" localSheetId="13" hidden="1">2147483647</definedName>
    <definedName name="solver_nod" localSheetId="14" hidden="1">2147483647</definedName>
    <definedName name="solver_nod" localSheetId="15" hidden="1">2147483647</definedName>
    <definedName name="solver_nod" localSheetId="16" hidden="1">2147483647</definedName>
    <definedName name="solver_nod" localSheetId="17" hidden="1">2147483647</definedName>
    <definedName name="solver_nod" localSheetId="18" hidden="1">2147483647</definedName>
    <definedName name="solver_nod" localSheetId="19" hidden="1">2147483647</definedName>
    <definedName name="solver_nod" localSheetId="20" hidden="1">2147483647</definedName>
    <definedName name="solver_nod" localSheetId="22" hidden="1">2147483647</definedName>
    <definedName name="solver_nod" localSheetId="24" hidden="1">2147483647</definedName>
    <definedName name="solver_nod" localSheetId="12" hidden="1">2147483647</definedName>
    <definedName name="solver_num" localSheetId="0" hidden="1">0</definedName>
    <definedName name="solver_num" localSheetId="1" hidden="1">0</definedName>
    <definedName name="solver_num" localSheetId="2" hidden="1">0</definedName>
    <definedName name="solver_num" localSheetId="3" hidden="1">0</definedName>
    <definedName name="solver_num" localSheetId="8" hidden="1">0</definedName>
    <definedName name="solver_num" localSheetId="9" hidden="1">0</definedName>
    <definedName name="solver_num" localSheetId="10" hidden="1">0</definedName>
    <definedName name="solver_num" localSheetId="11" hidden="1">0</definedName>
    <definedName name="solver_num" localSheetId="13" hidden="1">0</definedName>
    <definedName name="solver_num" localSheetId="14" hidden="1">0</definedName>
    <definedName name="solver_num" localSheetId="15" hidden="1">0</definedName>
    <definedName name="solver_num" localSheetId="16" hidden="1">0</definedName>
    <definedName name="solver_num" localSheetId="17" hidden="1">0</definedName>
    <definedName name="solver_num" localSheetId="18" hidden="1">0</definedName>
    <definedName name="solver_num" localSheetId="19" hidden="1">0</definedName>
    <definedName name="solver_num" localSheetId="20" hidden="1">0</definedName>
    <definedName name="solver_num" localSheetId="22" hidden="1">0</definedName>
    <definedName name="solver_num" localSheetId="24" hidden="1">0</definedName>
    <definedName name="solver_num" localSheetId="12" hidden="1">0</definedName>
    <definedName name="solver_nwt" localSheetId="0" hidden="1">1</definedName>
    <definedName name="solver_nwt" localSheetId="1" hidden="1">1</definedName>
    <definedName name="solver_nwt" localSheetId="2" hidden="1">1</definedName>
    <definedName name="solver_nwt" localSheetId="3" hidden="1">1</definedName>
    <definedName name="solver_nwt" localSheetId="8" hidden="1">1</definedName>
    <definedName name="solver_nwt" localSheetId="9" hidden="1">1</definedName>
    <definedName name="solver_nwt" localSheetId="10" hidden="1">1</definedName>
    <definedName name="solver_nwt" localSheetId="11" hidden="1">1</definedName>
    <definedName name="solver_nwt" localSheetId="13" hidden="1">1</definedName>
    <definedName name="solver_nwt" localSheetId="14" hidden="1">1</definedName>
    <definedName name="solver_nwt" localSheetId="15" hidden="1">1</definedName>
    <definedName name="solver_nwt" localSheetId="16" hidden="1">1</definedName>
    <definedName name="solver_nwt" localSheetId="17" hidden="1">1</definedName>
    <definedName name="solver_nwt" localSheetId="18" hidden="1">1</definedName>
    <definedName name="solver_nwt" localSheetId="19" hidden="1">1</definedName>
    <definedName name="solver_nwt" localSheetId="20" hidden="1">1</definedName>
    <definedName name="solver_nwt" localSheetId="22" hidden="1">1</definedName>
    <definedName name="solver_nwt" localSheetId="24" hidden="1">1</definedName>
    <definedName name="solver_nwt" localSheetId="12" hidden="1">1</definedName>
    <definedName name="solver_opt" localSheetId="0" hidden="1">'1.a PE buy-out Closed-Ended'!#REF!</definedName>
    <definedName name="solver_opt" localSheetId="1" hidden="1">'1.b PE buy-out Open-Ended'!#REF!</definedName>
    <definedName name="solver_opt" localSheetId="2" hidden="1">'1.c PE Venture Closed-Ended'!#REF!</definedName>
    <definedName name="solver_opt" localSheetId="3" hidden="1">'2.a PE FOF Closed-Ended'!#REF!</definedName>
    <definedName name="solver_opt" localSheetId="8" hidden="1">'3.c IC PCCL Closed-Ended'!#REF!</definedName>
    <definedName name="solver_opt" localSheetId="9" hidden="1">'3.d IC OP Closed-Ended'!#REF!</definedName>
    <definedName name="solver_opt" localSheetId="10" hidden="1">'4.a RE Core Closed-Ended'!#REF!</definedName>
    <definedName name="solver_opt" localSheetId="11" hidden="1">'4.b RE Core Open-Ended'!#REF!</definedName>
    <definedName name="solver_opt" localSheetId="13" hidden="1">'4.c RE Value-Add Closed-Ended'!#REF!</definedName>
    <definedName name="solver_opt" localSheetId="14" hidden="1">'4.d RE Opportunistic Closed-End'!#REF!</definedName>
    <definedName name="solver_opt" localSheetId="15" hidden="1">'5.a INF Core Closed-Ended'!#REF!</definedName>
    <definedName name="solver_opt" localSheetId="16" hidden="1">'5.b INF Core Open-Ended'!#REF!</definedName>
    <definedName name="solver_opt" localSheetId="17" hidden="1">'5.c INF Other Closed-Ended'!#REF!</definedName>
    <definedName name="solver_opt" localSheetId="18" hidden="1">'6.a Forestry Core Closed-Ended'!#REF!</definedName>
    <definedName name="solver_opt" localSheetId="19" hidden="1">'6.b Forestry Core Open-Ended'!#REF!</definedName>
    <definedName name="solver_opt" localSheetId="20" hidden="1">'6.c Forestry VA Closed-Ended'!#REF!</definedName>
    <definedName name="solver_opt" localSheetId="22" hidden="1">'7.b Liquid Alternatives - carry'!#REF!</definedName>
    <definedName name="solver_opt" localSheetId="24" hidden="1">'8.b Direct CI Fund Closed-Ended'!#REF!</definedName>
    <definedName name="solver_opt" localSheetId="12" hidden="1">'RE Core Open-Ended NY'!$K$77</definedName>
    <definedName name="solver_pre" localSheetId="0" hidden="1">0.000001</definedName>
    <definedName name="solver_pre" localSheetId="1" hidden="1">"""""""""""""""""""""""""""""""""""""""""""""""""""""""""""""""""""""""""""""""""""""""""""""""""""""""""""""""""""""""""""""""0,000001"""""""""""""""""""""""""""""""""""""""""""""""""""""""""""""""""""""""""""""""""""""""""""""""""""""""""""""""""""""""""""""""</definedName>
    <definedName name="solver_pre" localSheetId="2" hidden="1">0.000001</definedName>
    <definedName name="solver_pre" localSheetId="3" hidden="1">0.000001</definedName>
    <definedName name="solver_pre" localSheetId="8" hidden="1">0.000001</definedName>
    <definedName name="solver_pre" localSheetId="9" hidden="1">0.000001</definedName>
    <definedName name="solver_pre" localSheetId="10" hidden="1">0.000001</definedName>
    <definedName name="solver_pre" localSheetId="11" hidden="1">"""""""""""""""""""""""""""""""""""""""""""""""""""""""""""""""0,000001"""""""""""""""""""""""""""""""""""""""""""""""""""""""""""""""</definedName>
    <definedName name="solver_pre" localSheetId="13" hidden="1">0.000001</definedName>
    <definedName name="solver_pre" localSheetId="14" hidden="1">0.000001</definedName>
    <definedName name="solver_pre" localSheetId="15" hidden="1">0.000001</definedName>
    <definedName name="solver_pre" localSheetId="16" hidden="1">"""""""""""""""""""""""""""""""""""""""""""""""""""""""""""""""""""""""""""""""""""""""""""""""""""""""""""""""""""""""""""""""0,000001"""""""""""""""""""""""""""""""""""""""""""""""""""""""""""""""""""""""""""""""""""""""""""""""""""""""""""""""""""""""""""""""</definedName>
    <definedName name="solver_pre" localSheetId="17" hidden="1">0.000001</definedName>
    <definedName name="solver_pre" localSheetId="18" hidden="1">"""""""""""""""""""""""""""""""""""""""""""""""""""""""""""""""""""""""""""""""""""""""""""""""""""""""""""""""""""""""""""""""0,000001"""""""""""""""""""""""""""""""""""""""""""""""""""""""""""""""""""""""""""""""""""""""""""""""""""""""""""""""""""""""""""""""</definedName>
    <definedName name="solver_pre" localSheetId="19" hidden="1">"""""""""""""""""""""""""""""""""""""""""""""""""""""""""""""""""""""""""""""""""""""""""""""""""""""""""""""""""""""""""""""""0,000001"""""""""""""""""""""""""""""""""""""""""""""""""""""""""""""""""""""""""""""""""""""""""""""""""""""""""""""""""""""""""""""""</definedName>
    <definedName name="solver_pre" localSheetId="20" hidden="1">"""""""""""""""""""""""""""""""0,000001"""""""""""""""""""""""""""""""</definedName>
    <definedName name="solver_pre" localSheetId="22" hidden="1">"""""""""""""""""""""""""""""""0,000001"""""""""""""""""""""""""""""""</definedName>
    <definedName name="solver_pre" localSheetId="24" hidden="1">"0,000001"</definedName>
    <definedName name="solver_pre" localSheetId="12" hidden="1">0.000001</definedName>
    <definedName name="solver_rbv" localSheetId="0" hidden="1">1</definedName>
    <definedName name="solver_rbv" localSheetId="1" hidden="1">2</definedName>
    <definedName name="solver_rbv" localSheetId="2" hidden="1">2</definedName>
    <definedName name="solver_rbv" localSheetId="3" hidden="1">1</definedName>
    <definedName name="solver_rbv" localSheetId="8" hidden="1">1</definedName>
    <definedName name="solver_rbv" localSheetId="9" hidden="1">1</definedName>
    <definedName name="solver_rbv" localSheetId="10" hidden="1">1</definedName>
    <definedName name="solver_rbv" localSheetId="11" hidden="1">2</definedName>
    <definedName name="solver_rbv" localSheetId="13" hidden="1">1</definedName>
    <definedName name="solver_rbv" localSheetId="14" hidden="1">1</definedName>
    <definedName name="solver_rbv" localSheetId="15" hidden="1">1</definedName>
    <definedName name="solver_rbv" localSheetId="16" hidden="1">2</definedName>
    <definedName name="solver_rbv" localSheetId="17" hidden="1">1</definedName>
    <definedName name="solver_rbv" localSheetId="18" hidden="1">1</definedName>
    <definedName name="solver_rbv" localSheetId="19" hidden="1">2</definedName>
    <definedName name="solver_rbv" localSheetId="20" hidden="1">2</definedName>
    <definedName name="solver_rbv" localSheetId="22" hidden="1">2</definedName>
    <definedName name="solver_rbv" localSheetId="24" hidden="1">1</definedName>
    <definedName name="solver_rbv" localSheetId="12" hidden="1">1</definedName>
    <definedName name="solver_rlx" localSheetId="0" hidden="1">2</definedName>
    <definedName name="solver_rlx" localSheetId="1" hidden="1">2</definedName>
    <definedName name="solver_rlx" localSheetId="2" hidden="1">2</definedName>
    <definedName name="solver_rlx" localSheetId="3" hidden="1">2</definedName>
    <definedName name="solver_rlx" localSheetId="8" hidden="1">2</definedName>
    <definedName name="solver_rlx" localSheetId="9" hidden="1">2</definedName>
    <definedName name="solver_rlx" localSheetId="10" hidden="1">2</definedName>
    <definedName name="solver_rlx" localSheetId="11" hidden="1">2</definedName>
    <definedName name="solver_rlx" localSheetId="13" hidden="1">2</definedName>
    <definedName name="solver_rlx" localSheetId="14" hidden="1">2</definedName>
    <definedName name="solver_rlx" localSheetId="15" hidden="1">2</definedName>
    <definedName name="solver_rlx" localSheetId="16" hidden="1">2</definedName>
    <definedName name="solver_rlx" localSheetId="17" hidden="1">2</definedName>
    <definedName name="solver_rlx" localSheetId="18" hidden="1">2</definedName>
    <definedName name="solver_rlx" localSheetId="19" hidden="1">2</definedName>
    <definedName name="solver_rlx" localSheetId="20" hidden="1">2</definedName>
    <definedName name="solver_rlx" localSheetId="22" hidden="1">2</definedName>
    <definedName name="solver_rlx" localSheetId="24" hidden="1">2</definedName>
    <definedName name="solver_rlx" localSheetId="12" hidden="1">2</definedName>
    <definedName name="solver_rsd" localSheetId="0" hidden="1">0</definedName>
    <definedName name="solver_rsd" localSheetId="1" hidden="1">0</definedName>
    <definedName name="solver_rsd" localSheetId="2" hidden="1">0</definedName>
    <definedName name="solver_rsd" localSheetId="3" hidden="1">0</definedName>
    <definedName name="solver_rsd" localSheetId="8" hidden="1">0</definedName>
    <definedName name="solver_rsd" localSheetId="9" hidden="1">0</definedName>
    <definedName name="solver_rsd" localSheetId="10" hidden="1">0</definedName>
    <definedName name="solver_rsd" localSheetId="11" hidden="1">0</definedName>
    <definedName name="solver_rsd" localSheetId="13" hidden="1">0</definedName>
    <definedName name="solver_rsd" localSheetId="14" hidden="1">0</definedName>
    <definedName name="solver_rsd" localSheetId="15" hidden="1">0</definedName>
    <definedName name="solver_rsd" localSheetId="16" hidden="1">0</definedName>
    <definedName name="solver_rsd" localSheetId="17" hidden="1">0</definedName>
    <definedName name="solver_rsd" localSheetId="18" hidden="1">0</definedName>
    <definedName name="solver_rsd" localSheetId="19" hidden="1">0</definedName>
    <definedName name="solver_rsd" localSheetId="20" hidden="1">0</definedName>
    <definedName name="solver_rsd" localSheetId="22" hidden="1">0</definedName>
    <definedName name="solver_rsd" localSheetId="24" hidden="1">0</definedName>
    <definedName name="solver_rsd" localSheetId="12" hidden="1">0</definedName>
    <definedName name="solver_scl" localSheetId="0" hidden="1">1</definedName>
    <definedName name="solver_scl" localSheetId="1" hidden="1">2</definedName>
    <definedName name="solver_scl" localSheetId="2" hidden="1">2</definedName>
    <definedName name="solver_scl" localSheetId="3" hidden="1">1</definedName>
    <definedName name="solver_scl" localSheetId="8" hidden="1">1</definedName>
    <definedName name="solver_scl" localSheetId="9" hidden="1">1</definedName>
    <definedName name="solver_scl" localSheetId="10" hidden="1">1</definedName>
    <definedName name="solver_scl" localSheetId="11" hidden="1">2</definedName>
    <definedName name="solver_scl" localSheetId="13" hidden="1">1</definedName>
    <definedName name="solver_scl" localSheetId="14" hidden="1">1</definedName>
    <definedName name="solver_scl" localSheetId="15" hidden="1">1</definedName>
    <definedName name="solver_scl" localSheetId="16" hidden="1">2</definedName>
    <definedName name="solver_scl" localSheetId="17" hidden="1">1</definedName>
    <definedName name="solver_scl" localSheetId="18" hidden="1">1</definedName>
    <definedName name="solver_scl" localSheetId="19" hidden="1">2</definedName>
    <definedName name="solver_scl" localSheetId="20" hidden="1">2</definedName>
    <definedName name="solver_scl" localSheetId="22" hidden="1">2</definedName>
    <definedName name="solver_scl" localSheetId="24" hidden="1">1</definedName>
    <definedName name="solver_scl" localSheetId="12" hidden="1">1</definedName>
    <definedName name="solver_sho" localSheetId="0" hidden="1">2</definedName>
    <definedName name="solver_sho" localSheetId="1" hidden="1">2</definedName>
    <definedName name="solver_sho" localSheetId="2" hidden="1">2</definedName>
    <definedName name="solver_sho" localSheetId="3" hidden="1">2</definedName>
    <definedName name="solver_sho" localSheetId="8" hidden="1">2</definedName>
    <definedName name="solver_sho" localSheetId="9" hidden="1">2</definedName>
    <definedName name="solver_sho" localSheetId="10" hidden="1">2</definedName>
    <definedName name="solver_sho" localSheetId="11" hidden="1">2</definedName>
    <definedName name="solver_sho" localSheetId="13" hidden="1">2</definedName>
    <definedName name="solver_sho" localSheetId="14" hidden="1">2</definedName>
    <definedName name="solver_sho" localSheetId="15" hidden="1">2</definedName>
    <definedName name="solver_sho" localSheetId="16" hidden="1">2</definedName>
    <definedName name="solver_sho" localSheetId="17" hidden="1">2</definedName>
    <definedName name="solver_sho" localSheetId="18" hidden="1">2</definedName>
    <definedName name="solver_sho" localSheetId="19" hidden="1">2</definedName>
    <definedName name="solver_sho" localSheetId="20" hidden="1">2</definedName>
    <definedName name="solver_sho" localSheetId="22" hidden="1">2</definedName>
    <definedName name="solver_sho" localSheetId="24" hidden="1">2</definedName>
    <definedName name="solver_sho" localSheetId="12" hidden="1">2</definedName>
    <definedName name="solver_ssz" localSheetId="0" hidden="1">100</definedName>
    <definedName name="solver_ssz" localSheetId="1" hidden="1">100</definedName>
    <definedName name="solver_ssz" localSheetId="2" hidden="1">100</definedName>
    <definedName name="solver_ssz" localSheetId="3" hidden="1">100</definedName>
    <definedName name="solver_ssz" localSheetId="8" hidden="1">100</definedName>
    <definedName name="solver_ssz" localSheetId="9" hidden="1">100</definedName>
    <definedName name="solver_ssz" localSheetId="10" hidden="1">100</definedName>
    <definedName name="solver_ssz" localSheetId="11" hidden="1">100</definedName>
    <definedName name="solver_ssz" localSheetId="13" hidden="1">100</definedName>
    <definedName name="solver_ssz" localSheetId="14" hidden="1">100</definedName>
    <definedName name="solver_ssz" localSheetId="15" hidden="1">100</definedName>
    <definedName name="solver_ssz" localSheetId="16" hidden="1">100</definedName>
    <definedName name="solver_ssz" localSheetId="17" hidden="1">100</definedName>
    <definedName name="solver_ssz" localSheetId="18" hidden="1">100</definedName>
    <definedName name="solver_ssz" localSheetId="19" hidden="1">100</definedName>
    <definedName name="solver_ssz" localSheetId="20" hidden="1">100</definedName>
    <definedName name="solver_ssz" localSheetId="22" hidden="1">100</definedName>
    <definedName name="solver_ssz" localSheetId="24" hidden="1">100</definedName>
    <definedName name="solver_ssz" localSheetId="12" hidden="1">100</definedName>
    <definedName name="solver_tim" localSheetId="0" hidden="1">2147483647</definedName>
    <definedName name="solver_tim" localSheetId="1" hidden="1">2147483647</definedName>
    <definedName name="solver_tim" localSheetId="2" hidden="1">2147483647</definedName>
    <definedName name="solver_tim" localSheetId="3" hidden="1">2147483647</definedName>
    <definedName name="solver_tim" localSheetId="8" hidden="1">2147483647</definedName>
    <definedName name="solver_tim" localSheetId="9" hidden="1">2147483647</definedName>
    <definedName name="solver_tim" localSheetId="10" hidden="1">2147483647</definedName>
    <definedName name="solver_tim" localSheetId="11" hidden="1">2147483647</definedName>
    <definedName name="solver_tim" localSheetId="13" hidden="1">2147483647</definedName>
    <definedName name="solver_tim" localSheetId="14" hidden="1">2147483647</definedName>
    <definedName name="solver_tim" localSheetId="15" hidden="1">2147483647</definedName>
    <definedName name="solver_tim" localSheetId="16" hidden="1">2147483647</definedName>
    <definedName name="solver_tim" localSheetId="17" hidden="1">2147483647</definedName>
    <definedName name="solver_tim" localSheetId="18" hidden="1">2147483647</definedName>
    <definedName name="solver_tim" localSheetId="19" hidden="1">2147483647</definedName>
    <definedName name="solver_tim" localSheetId="20" hidden="1">2147483647</definedName>
    <definedName name="solver_tim" localSheetId="22" hidden="1">2147483647</definedName>
    <definedName name="solver_tim" localSheetId="24" hidden="1">2147483647</definedName>
    <definedName name="solver_tim" localSheetId="12" hidden="1">2147483647</definedName>
    <definedName name="solver_tol" localSheetId="0" hidden="1">1</definedName>
    <definedName name="solver_tol" localSheetId="1" hidden="1">1</definedName>
    <definedName name="solver_tol" localSheetId="2" hidden="1">1</definedName>
    <definedName name="solver_tol" localSheetId="3" hidden="1">0.01</definedName>
    <definedName name="solver_tol" localSheetId="8" hidden="1">1</definedName>
    <definedName name="solver_tol" localSheetId="9" hidden="1">1</definedName>
    <definedName name="solver_tol" localSheetId="10" hidden="1">1</definedName>
    <definedName name="solver_tol" localSheetId="11" hidden="1">1</definedName>
    <definedName name="solver_tol" localSheetId="13" hidden="1">1</definedName>
    <definedName name="solver_tol" localSheetId="14" hidden="1">1</definedName>
    <definedName name="solver_tol" localSheetId="15" hidden="1">1</definedName>
    <definedName name="solver_tol" localSheetId="16" hidden="1">1</definedName>
    <definedName name="solver_tol" localSheetId="17" hidden="1">1</definedName>
    <definedName name="solver_tol" localSheetId="18" hidden="1">0.01</definedName>
    <definedName name="solver_tol" localSheetId="19" hidden="1">1</definedName>
    <definedName name="solver_tol" localSheetId="20" hidden="1">0.01</definedName>
    <definedName name="solver_tol" localSheetId="22" hidden="1">0.01</definedName>
    <definedName name="solver_tol" localSheetId="24" hidden="1">0.01</definedName>
    <definedName name="solver_tol" localSheetId="12" hidden="1">0.01</definedName>
    <definedName name="solver_typ" localSheetId="0" hidden="1">3</definedName>
    <definedName name="solver_typ" localSheetId="1" hidden="1">3</definedName>
    <definedName name="solver_typ" localSheetId="2" hidden="1">3</definedName>
    <definedName name="solver_typ" localSheetId="3" hidden="1">3</definedName>
    <definedName name="solver_typ" localSheetId="8" hidden="1">3</definedName>
    <definedName name="solver_typ" localSheetId="9" hidden="1">3</definedName>
    <definedName name="solver_typ" localSheetId="10" hidden="1">3</definedName>
    <definedName name="solver_typ" localSheetId="11" hidden="1">3</definedName>
    <definedName name="solver_typ" localSheetId="13" hidden="1">3</definedName>
    <definedName name="solver_typ" localSheetId="14" hidden="1">3</definedName>
    <definedName name="solver_typ" localSheetId="15" hidden="1">3</definedName>
    <definedName name="solver_typ" localSheetId="16" hidden="1">3</definedName>
    <definedName name="solver_typ" localSheetId="17" hidden="1">3</definedName>
    <definedName name="solver_typ" localSheetId="18" hidden="1">3</definedName>
    <definedName name="solver_typ" localSheetId="19" hidden="1">3</definedName>
    <definedName name="solver_typ" localSheetId="20" hidden="1">3</definedName>
    <definedName name="solver_typ" localSheetId="22" hidden="1">3</definedName>
    <definedName name="solver_typ" localSheetId="24" hidden="1">3</definedName>
    <definedName name="solver_typ" localSheetId="12" hidden="1">3</definedName>
    <definedName name="solver_val" localSheetId="0" hidden="1">0.06853518</definedName>
    <definedName name="solver_val" localSheetId="1" hidden="1">0.06853518</definedName>
    <definedName name="solver_val" localSheetId="2" hidden="1">0.17560423</definedName>
    <definedName name="solver_val" localSheetId="3" hidden="1">0.1320923808</definedName>
    <definedName name="solver_val" localSheetId="8" hidden="1">0.08762933</definedName>
    <definedName name="solver_val" localSheetId="9" hidden="1">0.13274082</definedName>
    <definedName name="solver_val" localSheetId="10" hidden="1">0.10040937</definedName>
    <definedName name="solver_val" localSheetId="11" hidden="1">0.10040937</definedName>
    <definedName name="solver_val" localSheetId="13" hidden="1">0.10668252</definedName>
    <definedName name="solver_val" localSheetId="14" hidden="1">0.14932695</definedName>
    <definedName name="solver_val" localSheetId="15" hidden="1">0.08824876</definedName>
    <definedName name="solver_val" localSheetId="16" hidden="1">0.08824876</definedName>
    <definedName name="solver_val" localSheetId="17" hidden="1">10333212</definedName>
    <definedName name="solver_val" localSheetId="18" hidden="1">0.05890534</definedName>
    <definedName name="solver_val" localSheetId="19" hidden="1">0.05890534</definedName>
    <definedName name="solver_val" localSheetId="20" hidden="1">0.06513949</definedName>
    <definedName name="solver_val" localSheetId="22" hidden="1">0.0524441</definedName>
    <definedName name="solver_val" localSheetId="24" hidden="1">0.08401966</definedName>
    <definedName name="solver_val" localSheetId="12" hidden="1">0.10040937</definedName>
    <definedName name="solver_ver" localSheetId="0" hidden="1">3</definedName>
    <definedName name="solver_ver" localSheetId="1" hidden="1">3</definedName>
    <definedName name="solver_ver" localSheetId="2" hidden="1">3</definedName>
    <definedName name="solver_ver" localSheetId="3" hidden="1">3</definedName>
    <definedName name="solver_ver" localSheetId="8" hidden="1">3</definedName>
    <definedName name="solver_ver" localSheetId="9" hidden="1">3</definedName>
    <definedName name="solver_ver" localSheetId="10" hidden="1">3</definedName>
    <definedName name="solver_ver" localSheetId="11" hidden="1">3</definedName>
    <definedName name="solver_ver" localSheetId="13" hidden="1">3</definedName>
    <definedName name="solver_ver" localSheetId="14" hidden="1">3</definedName>
    <definedName name="solver_ver" localSheetId="15" hidden="1">3</definedName>
    <definedName name="solver_ver" localSheetId="16" hidden="1">3</definedName>
    <definedName name="solver_ver" localSheetId="17" hidden="1">3</definedName>
    <definedName name="solver_ver" localSheetId="18" hidden="1">3</definedName>
    <definedName name="solver_ver" localSheetId="19" hidden="1">3</definedName>
    <definedName name="solver_ver" localSheetId="20" hidden="1">3</definedName>
    <definedName name="solver_ver" localSheetId="22" hidden="1">3</definedName>
    <definedName name="solver_ver" localSheetId="24" hidden="1">3</definedName>
    <definedName name="solver_ver" localSheetId="1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59" l="1"/>
  <c r="A12" i="59" s="1"/>
  <c r="A13" i="59" s="1"/>
  <c r="A14" i="59" s="1"/>
  <c r="A15" i="59" s="1"/>
  <c r="A16" i="59" s="1"/>
  <c r="A17" i="59" s="1"/>
  <c r="A18" i="59" s="1"/>
  <c r="A19" i="59" s="1"/>
  <c r="A20" i="59" s="1"/>
  <c r="A21" i="59" s="1"/>
  <c r="A22" i="59" s="1"/>
  <c r="A23" i="59" s="1"/>
  <c r="A24" i="59" s="1"/>
  <c r="A25" i="59" s="1"/>
  <c r="A26" i="59" s="1"/>
  <c r="A27" i="59" s="1"/>
  <c r="A28" i="59" s="1"/>
  <c r="A29" i="59" s="1"/>
  <c r="A9" i="70" l="1"/>
  <c r="A10" i="70" s="1"/>
  <c r="A11" i="70" s="1"/>
  <c r="A12" i="70" s="1"/>
  <c r="A13" i="70" s="1"/>
  <c r="A14" i="70" s="1"/>
  <c r="A15" i="70" s="1"/>
  <c r="A16" i="70" s="1"/>
  <c r="A17" i="70" s="1"/>
  <c r="A18" i="70" s="1"/>
  <c r="A19" i="70" s="1"/>
  <c r="A20" i="70" s="1"/>
  <c r="A13" i="71" l="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36" i="71" s="1"/>
  <c r="C126" i="70"/>
  <c r="D126" i="70" s="1"/>
  <c r="AC63" i="71" l="1"/>
  <c r="AD63" i="71" s="1"/>
  <c r="AE63" i="71" s="1"/>
  <c r="AF63" i="71" s="1"/>
  <c r="AG63" i="71" s="1"/>
  <c r="AH63" i="71" s="1"/>
  <c r="AI63" i="71" s="1"/>
  <c r="AJ63" i="71" s="1"/>
  <c r="AK63" i="71" s="1"/>
  <c r="AL63" i="71" s="1"/>
  <c r="AM63" i="71" s="1"/>
  <c r="AN63" i="71" s="1"/>
  <c r="AO63" i="71" s="1"/>
  <c r="AP63" i="71" s="1"/>
  <c r="AQ63" i="71" s="1"/>
  <c r="AR63" i="71" s="1"/>
  <c r="AS63" i="71" s="1"/>
  <c r="AT63" i="71" s="1"/>
  <c r="AU63" i="71" s="1"/>
  <c r="AV63" i="71" s="1"/>
  <c r="AW63" i="71" s="1"/>
  <c r="AX63" i="71" s="1"/>
  <c r="AY63" i="71" s="1"/>
  <c r="AZ63" i="71" s="1"/>
  <c r="E126" i="70"/>
  <c r="F126" i="70" l="1"/>
  <c r="G128" i="70" l="1"/>
  <c r="G126" i="70"/>
  <c r="H126" i="70" l="1"/>
  <c r="H128" i="70"/>
  <c r="I126" i="70" l="1"/>
  <c r="I128" i="70"/>
  <c r="J126" i="70" l="1"/>
  <c r="J128" i="70"/>
  <c r="K126" i="70" l="1"/>
  <c r="K128" i="70"/>
  <c r="L128" i="70" l="1"/>
  <c r="M128" i="70" s="1"/>
  <c r="N128" i="70" s="1"/>
  <c r="O128" i="70" s="1"/>
  <c r="P128" i="70" s="1"/>
  <c r="L126" i="70"/>
  <c r="Q159" i="70" l="1"/>
  <c r="Q128" i="70"/>
  <c r="R128" i="70" s="1"/>
  <c r="M126" i="70"/>
  <c r="S128" i="70" l="1"/>
  <c r="N126" i="70"/>
  <c r="R159" i="70"/>
  <c r="S159" i="70" l="1"/>
  <c r="O126" i="70"/>
  <c r="T128" i="70"/>
  <c r="P126" i="70" l="1"/>
  <c r="T159" i="70"/>
  <c r="U128" i="70"/>
  <c r="V128" i="70" l="1"/>
  <c r="V127" i="70"/>
  <c r="W127" i="70" s="1"/>
  <c r="X127" i="70" s="1"/>
  <c r="Y127" i="70" s="1"/>
  <c r="Z127" i="70" s="1"/>
  <c r="AA128" i="70" s="1"/>
  <c r="AB129" i="70" s="1"/>
  <c r="AC129" i="70" s="1"/>
  <c r="AD129" i="70" s="1"/>
  <c r="AE129" i="70" s="1"/>
  <c r="AF129" i="70" s="1"/>
  <c r="AG129" i="70" s="1"/>
  <c r="AH129" i="70" s="1"/>
  <c r="AI129" i="70" s="1"/>
  <c r="AJ129" i="70" s="1"/>
  <c r="AK129" i="70" s="1"/>
  <c r="AL129" i="70" s="1"/>
  <c r="AM129" i="70" s="1"/>
  <c r="AN129" i="70" s="1"/>
  <c r="AO129" i="70" s="1"/>
  <c r="AP129" i="70" s="1"/>
  <c r="AQ129" i="70" s="1"/>
  <c r="AR129" i="70" s="1"/>
  <c r="AS129" i="70" s="1"/>
  <c r="AT129" i="70" s="1"/>
  <c r="AU129" i="70" s="1"/>
  <c r="AV129" i="70" s="1"/>
  <c r="AW129" i="70" s="1"/>
  <c r="AX129" i="70" s="1"/>
  <c r="AY129" i="70" s="1"/>
  <c r="Q126" i="70"/>
  <c r="U159" i="70"/>
  <c r="V168" i="70" l="1"/>
  <c r="R126" i="70"/>
  <c r="W128" i="70"/>
  <c r="X128" i="70" l="1"/>
  <c r="S126" i="70"/>
  <c r="W168" i="70"/>
  <c r="X168" i="70" l="1"/>
  <c r="Y128" i="70"/>
  <c r="T126" i="70"/>
  <c r="Y168" i="70" l="1"/>
  <c r="Z128" i="70"/>
  <c r="AA129" i="70" l="1"/>
  <c r="AB130" i="70" s="1"/>
  <c r="AC130" i="70" s="1"/>
  <c r="AD130" i="70" s="1"/>
  <c r="AE130" i="70" s="1"/>
  <c r="AF130" i="70" s="1"/>
  <c r="AG130" i="70" s="1"/>
  <c r="AH130" i="70" s="1"/>
  <c r="AI130" i="70" s="1"/>
  <c r="AJ130" i="70" s="1"/>
  <c r="AK130" i="70" s="1"/>
  <c r="AL130" i="70" s="1"/>
  <c r="AM130" i="70" s="1"/>
  <c r="AN130" i="70" s="1"/>
  <c r="AO130" i="70" s="1"/>
  <c r="AP130" i="70" s="1"/>
  <c r="AQ130" i="70" s="1"/>
  <c r="AR130" i="70" s="1"/>
  <c r="AS130" i="70" s="1"/>
  <c r="AT130" i="70" s="1"/>
  <c r="AU130" i="70" s="1"/>
  <c r="AV130" i="70" s="1"/>
  <c r="AW130" i="70" s="1"/>
  <c r="AX130" i="70" s="1"/>
  <c r="AY130" i="70" s="1"/>
  <c r="Z168" i="70"/>
  <c r="AA169" i="70" l="1"/>
  <c r="AB170" i="70" l="1"/>
  <c r="AC170" i="70" l="1"/>
  <c r="AD170" i="70" l="1"/>
  <c r="AE170" i="70" l="1"/>
  <c r="AF170" i="70" l="1"/>
  <c r="AG170" i="70" l="1"/>
  <c r="AH170" i="70" l="1"/>
  <c r="AI170" i="70" l="1"/>
  <c r="AJ170" i="70" l="1"/>
  <c r="AK170" i="70" l="1"/>
  <c r="AL170" i="70" l="1"/>
  <c r="AM170" i="70" l="1"/>
  <c r="AN170" i="70" l="1"/>
  <c r="AO170" i="70" l="1"/>
  <c r="AP170" i="70" l="1"/>
  <c r="AQ170" i="70" l="1"/>
  <c r="AR170" i="70" l="1"/>
  <c r="AS170" i="70" l="1"/>
  <c r="AT170" i="70" l="1"/>
  <c r="AU170" i="70" l="1"/>
  <c r="AV170" i="70" l="1"/>
  <c r="AW170" i="70" l="1"/>
  <c r="AX170" i="70" l="1"/>
  <c r="AY170" i="70" l="1"/>
  <c r="A12" i="69" l="1"/>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13" i="68"/>
  <c r="A14" i="68" s="1"/>
  <c r="A15" i="68" s="1"/>
  <c r="A16" i="68" s="1"/>
  <c r="A17" i="68" s="1"/>
  <c r="A18" i="68" s="1"/>
  <c r="A19" i="68" s="1"/>
  <c r="A20" i="68" s="1"/>
  <c r="A21" i="68" s="1"/>
  <c r="A22" i="68" s="1"/>
  <c r="A23" i="68" s="1"/>
  <c r="A24" i="68" s="1"/>
  <c r="A25" i="68" s="1"/>
  <c r="A26" i="68" s="1"/>
  <c r="A27" i="68" s="1"/>
  <c r="A28" i="68" s="1"/>
  <c r="A29" i="68" s="1"/>
  <c r="A30" i="68" s="1"/>
  <c r="A31" i="68" s="1"/>
  <c r="A32" i="68" s="1"/>
  <c r="A33" i="68" s="1"/>
  <c r="A34" i="68" s="1"/>
  <c r="A35" i="68" s="1"/>
  <c r="A36" i="68" s="1"/>
  <c r="W61" i="69" l="1"/>
  <c r="X61" i="69" s="1"/>
  <c r="Y61" i="69" s="1"/>
  <c r="Z61" i="69" s="1"/>
  <c r="AA61" i="69" s="1"/>
  <c r="AB61" i="69" s="1"/>
  <c r="AC62" i="69" s="1"/>
  <c r="AD62" i="69" s="1"/>
  <c r="AE62" i="69" s="1"/>
  <c r="AF62" i="69" s="1"/>
  <c r="AG62" i="69" s="1"/>
  <c r="AH62" i="69" s="1"/>
  <c r="AI62" i="69" s="1"/>
  <c r="AJ62" i="69" s="1"/>
  <c r="AK62" i="69" s="1"/>
  <c r="AL62" i="69" s="1"/>
  <c r="AM62" i="69" s="1"/>
  <c r="AN62" i="69" s="1"/>
  <c r="AO62" i="69" s="1"/>
  <c r="AP62" i="69" s="1"/>
  <c r="AQ62" i="69" s="1"/>
  <c r="AR62" i="69" s="1"/>
  <c r="AS62" i="69" s="1"/>
  <c r="AT62" i="69" s="1"/>
  <c r="AU62" i="69" s="1"/>
  <c r="AV62" i="69" s="1"/>
  <c r="AW62" i="69" s="1"/>
  <c r="AX62" i="69" s="1"/>
  <c r="AY62" i="69" s="1"/>
  <c r="AZ62" i="69" s="1"/>
  <c r="A12" i="67" l="1"/>
  <c r="A13" i="67" s="1"/>
  <c r="A14" i="67" s="1"/>
  <c r="A15" i="67" s="1"/>
  <c r="A16" i="67" s="1"/>
  <c r="A17" i="67" s="1"/>
  <c r="A18" i="67" s="1"/>
  <c r="A19" i="67" s="1"/>
  <c r="A20" i="67" s="1"/>
  <c r="A21" i="67" s="1"/>
  <c r="A22" i="67" s="1"/>
  <c r="A23" i="67" s="1"/>
  <c r="A24" i="67" s="1"/>
  <c r="A25" i="67" s="1"/>
  <c r="A26" i="67" s="1"/>
  <c r="A27" i="67" s="1"/>
  <c r="A28" i="67" s="1"/>
  <c r="A29" i="67" s="1"/>
  <c r="A30" i="67" s="1"/>
  <c r="A31" i="67" s="1"/>
  <c r="A32" i="67" s="1"/>
  <c r="A33" i="67" s="1"/>
  <c r="A34" i="67" s="1"/>
  <c r="A35" i="67" s="1"/>
  <c r="A14" i="35"/>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W61" i="68" l="1"/>
  <c r="X61" i="68" s="1"/>
  <c r="Y61" i="68" s="1"/>
  <c r="Z61" i="68" s="1"/>
  <c r="AA61" i="68" s="1"/>
  <c r="AB61" i="68" s="1"/>
  <c r="AC62" i="68" s="1"/>
  <c r="AD62" i="68" s="1"/>
  <c r="AE62" i="68" s="1"/>
  <c r="AF62" i="68" s="1"/>
  <c r="AG62" i="68" s="1"/>
  <c r="AH62" i="68" s="1"/>
  <c r="AI62" i="68" s="1"/>
  <c r="AJ62" i="68" s="1"/>
  <c r="AK62" i="68" s="1"/>
  <c r="AL62" i="68" s="1"/>
  <c r="AM62" i="68" s="1"/>
  <c r="AN62" i="68" s="1"/>
  <c r="AO62" i="68" s="1"/>
  <c r="AP62" i="68" s="1"/>
  <c r="AQ62" i="68" s="1"/>
  <c r="AR62" i="68" s="1"/>
  <c r="AS62" i="68" s="1"/>
  <c r="AT62" i="68" s="1"/>
  <c r="AU62" i="68" s="1"/>
  <c r="AV62" i="68" s="1"/>
  <c r="AW62" i="68" s="1"/>
  <c r="AX62" i="68" s="1"/>
  <c r="AY62" i="68" s="1"/>
  <c r="AZ62" i="68" s="1"/>
  <c r="E108" i="64"/>
  <c r="E107" i="64"/>
  <c r="E106" i="64"/>
  <c r="E105" i="64"/>
  <c r="E104" i="64"/>
  <c r="E103" i="64"/>
  <c r="E102" i="64"/>
  <c r="E99" i="64"/>
  <c r="E98" i="64"/>
  <c r="E97" i="64"/>
  <c r="E96" i="64"/>
  <c r="E95" i="64"/>
  <c r="E94" i="64"/>
  <c r="E93" i="64"/>
  <c r="E89" i="64"/>
  <c r="E88" i="64"/>
  <c r="E87" i="64"/>
  <c r="E86" i="64"/>
  <c r="E85" i="64"/>
  <c r="E84" i="64"/>
  <c r="E83" i="64"/>
  <c r="F108" i="64"/>
  <c r="F107" i="64"/>
  <c r="F104" i="64"/>
  <c r="F103" i="64"/>
  <c r="F102" i="64"/>
  <c r="F105" i="64"/>
  <c r="B30" i="64"/>
  <c r="B29" i="64"/>
  <c r="F106" i="64"/>
  <c r="AB210" i="64"/>
  <c r="AC210" i="64" s="1"/>
  <c r="AD210" i="64" s="1"/>
  <c r="AE210" i="64" s="1"/>
  <c r="AF210" i="64" s="1"/>
  <c r="AG210" i="64" s="1"/>
  <c r="AH210" i="64" s="1"/>
  <c r="AI210" i="64" s="1"/>
  <c r="AJ210" i="64" s="1"/>
  <c r="AK210" i="64" s="1"/>
  <c r="AL210" i="64" s="1"/>
  <c r="AM210" i="64" s="1"/>
  <c r="AN210" i="64" s="1"/>
  <c r="AO210" i="64" s="1"/>
  <c r="AP210" i="64" s="1"/>
  <c r="AQ210" i="64" s="1"/>
  <c r="AR210" i="64" s="1"/>
  <c r="AS210" i="64" s="1"/>
  <c r="AT210" i="64" s="1"/>
  <c r="AU210" i="64" s="1"/>
  <c r="AV210" i="64" s="1"/>
  <c r="AW210" i="64" s="1"/>
  <c r="AX210" i="64" s="1"/>
  <c r="AY210" i="64" s="1"/>
  <c r="K210" i="64"/>
  <c r="L210" i="64" s="1"/>
  <c r="M210" i="64" s="1"/>
  <c r="N210" i="64" s="1"/>
  <c r="O210" i="64" s="1"/>
  <c r="P210" i="64" s="1"/>
  <c r="C196" i="64"/>
  <c r="D196" i="64" s="1"/>
  <c r="E196" i="64" s="1"/>
  <c r="F196" i="64" s="1"/>
  <c r="C114" i="64"/>
  <c r="D114" i="64" s="1"/>
  <c r="E114" i="64" s="1"/>
  <c r="F114" i="64" s="1"/>
  <c r="G114" i="64" s="1"/>
  <c r="H114" i="64" s="1"/>
  <c r="I114" i="64" s="1"/>
  <c r="J114" i="64" s="1"/>
  <c r="K114" i="64" s="1"/>
  <c r="L114" i="64" s="1"/>
  <c r="M114" i="64" s="1"/>
  <c r="B38" i="64"/>
  <c r="B37" i="64"/>
  <c r="B36" i="64"/>
  <c r="B35" i="64"/>
  <c r="B32" i="64"/>
  <c r="B26" i="64"/>
  <c r="D80" i="64" s="1"/>
  <c r="B25" i="64"/>
  <c r="B80" i="64" s="1"/>
  <c r="B24" i="64"/>
  <c r="C80" i="64" s="1"/>
  <c r="F85" i="64"/>
  <c r="B20" i="64"/>
  <c r="K8" i="64"/>
  <c r="K6" i="64"/>
  <c r="K4" i="64"/>
  <c r="C4" i="64"/>
  <c r="B4" i="64"/>
  <c r="A10" i="54"/>
  <c r="A11" i="54" s="1"/>
  <c r="A12" i="54" s="1"/>
  <c r="A13" i="54" s="1"/>
  <c r="A14" i="54" s="1"/>
  <c r="A15" i="54" s="1"/>
  <c r="A16" i="54" s="1"/>
  <c r="A17" i="54" s="1"/>
  <c r="A18" i="54" s="1"/>
  <c r="A19" i="54" s="1"/>
  <c r="A20" i="54" s="1"/>
  <c r="A21" i="54" s="1"/>
  <c r="A22" i="54" s="1"/>
  <c r="A23" i="54" s="1"/>
  <c r="A24" i="54" s="1"/>
  <c r="A25" i="54" s="1"/>
  <c r="A26" i="54" s="1"/>
  <c r="A27" i="54" s="1"/>
  <c r="A28" i="54" s="1"/>
  <c r="E80" i="64" l="1"/>
  <c r="C62" i="64"/>
  <c r="C71" i="64" s="1"/>
  <c r="D62" i="64"/>
  <c r="L8" i="64"/>
  <c r="L6" i="64"/>
  <c r="L4" i="64"/>
  <c r="D4" i="64" s="1"/>
  <c r="G189" i="64"/>
  <c r="F45" i="64"/>
  <c r="G179" i="64"/>
  <c r="F62" i="64"/>
  <c r="Q241" i="64"/>
  <c r="Q210" i="64"/>
  <c r="R210" i="64" s="1"/>
  <c r="S210" i="64" s="1"/>
  <c r="T210" i="64" s="1"/>
  <c r="U210" i="64" s="1"/>
  <c r="V210" i="64" s="1"/>
  <c r="W210" i="64" s="1"/>
  <c r="X210" i="64" s="1"/>
  <c r="Y210" i="64" s="1"/>
  <c r="Z210" i="64" s="1"/>
  <c r="AA210" i="64" s="1"/>
  <c r="AB211" i="64" s="1"/>
  <c r="AC211" i="64" s="1"/>
  <c r="AD211" i="64" s="1"/>
  <c r="AE211" i="64" s="1"/>
  <c r="AF211" i="64" s="1"/>
  <c r="AG211" i="64" s="1"/>
  <c r="AH211" i="64" s="1"/>
  <c r="AI211" i="64" s="1"/>
  <c r="AJ211" i="64" s="1"/>
  <c r="AK211" i="64" s="1"/>
  <c r="AL211" i="64" s="1"/>
  <c r="AM211" i="64" s="1"/>
  <c r="AN211" i="64" s="1"/>
  <c r="AO211" i="64" s="1"/>
  <c r="AP211" i="64" s="1"/>
  <c r="AQ211" i="64" s="1"/>
  <c r="AR211" i="64" s="1"/>
  <c r="AS211" i="64" s="1"/>
  <c r="AT211" i="64" s="1"/>
  <c r="AU211" i="64" s="1"/>
  <c r="AV211" i="64" s="1"/>
  <c r="AW211" i="64" s="1"/>
  <c r="AX211" i="64" s="1"/>
  <c r="AY211" i="64" s="1"/>
  <c r="E62" i="64"/>
  <c r="F95" i="64"/>
  <c r="F84" i="64"/>
  <c r="F94" i="64"/>
  <c r="F83" i="64"/>
  <c r="F93" i="64"/>
  <c r="F112" i="64"/>
  <c r="F89" i="64"/>
  <c r="F99" i="64"/>
  <c r="F88" i="64"/>
  <c r="F98" i="64"/>
  <c r="F87" i="64"/>
  <c r="F97" i="64"/>
  <c r="F86" i="64"/>
  <c r="F96" i="64"/>
  <c r="B45" i="64"/>
  <c r="C45" i="64"/>
  <c r="B40" i="64"/>
  <c r="D45" i="64"/>
  <c r="C40" i="64"/>
  <c r="E45" i="64"/>
  <c r="B62" i="64"/>
  <c r="B71" i="64" s="1"/>
  <c r="P41" i="64"/>
  <c r="C73" i="64" l="1"/>
  <c r="C63" i="64"/>
  <c r="C65" i="64" s="1"/>
  <c r="D51" i="64"/>
  <c r="D46" i="64"/>
  <c r="D52" i="64"/>
  <c r="D47" i="64"/>
  <c r="D60" i="64" s="1"/>
  <c r="C51" i="64"/>
  <c r="C46" i="64"/>
  <c r="C52" i="64"/>
  <c r="C47" i="64"/>
  <c r="C60" i="64" s="1"/>
  <c r="E51" i="64"/>
  <c r="E46" i="64"/>
  <c r="E52" i="64"/>
  <c r="E47" i="64"/>
  <c r="E60" i="64" s="1"/>
  <c r="R241" i="64"/>
  <c r="Q41" i="64"/>
  <c r="B73" i="64"/>
  <c r="B65" i="64"/>
  <c r="B64" i="64"/>
  <c r="B68" i="64" s="1"/>
  <c r="B67" i="64"/>
  <c r="B66" i="64"/>
  <c r="B57" i="64"/>
  <c r="B52" i="64"/>
  <c r="B47" i="64"/>
  <c r="B49" i="64" s="1"/>
  <c r="B53" i="64"/>
  <c r="B54" i="64"/>
  <c r="B56" i="64"/>
  <c r="B51" i="64"/>
  <c r="B46" i="64"/>
  <c r="B48" i="64" s="1"/>
  <c r="H179" i="64"/>
  <c r="G62" i="64"/>
  <c r="G45" i="64"/>
  <c r="F51" i="64"/>
  <c r="F46" i="64"/>
  <c r="F52" i="64"/>
  <c r="F60" i="64" s="1"/>
  <c r="F47" i="64"/>
  <c r="C57" i="64" l="1"/>
  <c r="C64" i="64"/>
  <c r="C74" i="64" s="1"/>
  <c r="C67" i="64"/>
  <c r="C69" i="64" s="1"/>
  <c r="C75" i="64" s="1"/>
  <c r="C66" i="64"/>
  <c r="B72" i="64"/>
  <c r="C54" i="64"/>
  <c r="D54" i="64" s="1"/>
  <c r="E54" i="64" s="1"/>
  <c r="F54" i="64" s="1"/>
  <c r="C53" i="64"/>
  <c r="D53" i="64" s="1"/>
  <c r="E53" i="64" s="1"/>
  <c r="F53" i="64" s="1"/>
  <c r="B58" i="64"/>
  <c r="C56" i="64"/>
  <c r="C48" i="64"/>
  <c r="C49" i="64"/>
  <c r="B74" i="64"/>
  <c r="B70" i="64"/>
  <c r="B69" i="64"/>
  <c r="B75" i="64" s="1"/>
  <c r="I179" i="64"/>
  <c r="H62" i="64"/>
  <c r="H45" i="64"/>
  <c r="B59" i="64"/>
  <c r="B60" i="64"/>
  <c r="G51" i="64"/>
  <c r="G46" i="64"/>
  <c r="G52" i="64"/>
  <c r="G60" i="64" s="1"/>
  <c r="G47" i="64"/>
  <c r="S241" i="64"/>
  <c r="R41" i="64"/>
  <c r="C72" i="64" l="1"/>
  <c r="C68" i="64"/>
  <c r="C70" i="64" s="1"/>
  <c r="C76" i="64" s="1"/>
  <c r="B76" i="64"/>
  <c r="C59" i="64"/>
  <c r="G53" i="64"/>
  <c r="G54" i="64"/>
  <c r="J179" i="64"/>
  <c r="I62" i="64"/>
  <c r="I45" i="64"/>
  <c r="T241" i="64"/>
  <c r="S41" i="64"/>
  <c r="B78" i="64"/>
  <c r="B77" i="64"/>
  <c r="D49" i="64"/>
  <c r="D57" i="64"/>
  <c r="H51" i="64"/>
  <c r="H46" i="64"/>
  <c r="H52" i="64"/>
  <c r="H60" i="64" s="1"/>
  <c r="H47" i="64"/>
  <c r="D48" i="64"/>
  <c r="C58" i="64"/>
  <c r="D56" i="64"/>
  <c r="C78" i="64" l="1"/>
  <c r="C77" i="64"/>
  <c r="H53" i="64"/>
  <c r="H54" i="64"/>
  <c r="U241" i="64"/>
  <c r="T41" i="64"/>
  <c r="I47" i="64"/>
  <c r="I46" i="64"/>
  <c r="I51" i="64"/>
  <c r="E56" i="64"/>
  <c r="E48" i="64"/>
  <c r="D58" i="64"/>
  <c r="D63" i="64" s="1"/>
  <c r="E57" i="64"/>
  <c r="E49" i="64"/>
  <c r="D59" i="64"/>
  <c r="K196" i="64"/>
  <c r="J62" i="64"/>
  <c r="J45" i="64"/>
  <c r="I52" i="64" l="1"/>
  <c r="I60" i="64" s="1"/>
  <c r="I53" i="64"/>
  <c r="L196" i="64"/>
  <c r="K62" i="64"/>
  <c r="K45" i="64"/>
  <c r="F49" i="64"/>
  <c r="F57" i="64"/>
  <c r="E59" i="64"/>
  <c r="V250" i="64"/>
  <c r="U41" i="64"/>
  <c r="D67" i="64"/>
  <c r="D66" i="64"/>
  <c r="D65" i="64"/>
  <c r="D64" i="64"/>
  <c r="D68" i="64" s="1"/>
  <c r="J47" i="64"/>
  <c r="J51" i="64"/>
  <c r="J52" i="64" s="1"/>
  <c r="J46" i="64"/>
  <c r="F56" i="64"/>
  <c r="F48" i="64"/>
  <c r="E58" i="64"/>
  <c r="E63" i="64" s="1"/>
  <c r="I54" i="64" l="1"/>
  <c r="J53" i="64"/>
  <c r="J60" i="64"/>
  <c r="K60" i="64" s="1"/>
  <c r="D69" i="64"/>
  <c r="D70" i="64"/>
  <c r="D78" i="64" s="1"/>
  <c r="E65" i="64"/>
  <c r="E64" i="64"/>
  <c r="E68" i="64" s="1"/>
  <c r="E66" i="64"/>
  <c r="E67" i="64"/>
  <c r="W250" i="64"/>
  <c r="V41" i="64"/>
  <c r="F58" i="64"/>
  <c r="F63" i="64" s="1"/>
  <c r="G56" i="64"/>
  <c r="G48" i="64"/>
  <c r="G49" i="64"/>
  <c r="G57" i="64"/>
  <c r="F59" i="64"/>
  <c r="K51" i="64"/>
  <c r="K46" i="64"/>
  <c r="K52" i="64"/>
  <c r="K47" i="64"/>
  <c r="L62" i="64"/>
  <c r="M196" i="64"/>
  <c r="L45" i="64"/>
  <c r="Q86" i="35" l="1"/>
  <c r="J54" i="64"/>
  <c r="K54" i="64" s="1"/>
  <c r="K53" i="64"/>
  <c r="E70" i="64"/>
  <c r="E78" i="64" s="1"/>
  <c r="E69" i="64"/>
  <c r="F67" i="64"/>
  <c r="F66" i="64"/>
  <c r="F64" i="64"/>
  <c r="F68" i="64" s="1"/>
  <c r="F65" i="64"/>
  <c r="X250" i="64"/>
  <c r="W41" i="64"/>
  <c r="L51" i="64"/>
  <c r="L46" i="64"/>
  <c r="L52" i="64"/>
  <c r="L47" i="64"/>
  <c r="N196" i="64"/>
  <c r="M62" i="64"/>
  <c r="M45" i="64"/>
  <c r="H49" i="64"/>
  <c r="H57" i="64"/>
  <c r="G59" i="64"/>
  <c r="G58" i="64"/>
  <c r="G63" i="64" s="1"/>
  <c r="H56" i="64"/>
  <c r="H48" i="64"/>
  <c r="R86" i="35" l="1"/>
  <c r="L53" i="64"/>
  <c r="F69" i="64"/>
  <c r="F70" i="64"/>
  <c r="F78" i="64" s="1"/>
  <c r="M51" i="64"/>
  <c r="M46" i="64"/>
  <c r="M52" i="64"/>
  <c r="M47" i="64"/>
  <c r="Y250" i="64"/>
  <c r="X41" i="64"/>
  <c r="O196" i="64"/>
  <c r="N45" i="64"/>
  <c r="N62" i="64"/>
  <c r="L54" i="64"/>
  <c r="I57" i="64"/>
  <c r="H59" i="64"/>
  <c r="I49" i="64"/>
  <c r="G66" i="64"/>
  <c r="G65" i="64"/>
  <c r="G64" i="64"/>
  <c r="G68" i="64" s="1"/>
  <c r="G67" i="64"/>
  <c r="H58" i="64"/>
  <c r="H63" i="64" s="1"/>
  <c r="I56" i="64"/>
  <c r="I48" i="64"/>
  <c r="S86" i="35" l="1"/>
  <c r="M53" i="64"/>
  <c r="G69" i="64"/>
  <c r="G70" i="64"/>
  <c r="G78" i="64" s="1"/>
  <c r="N51" i="64"/>
  <c r="N46" i="64"/>
  <c r="N52" i="64"/>
  <c r="N47" i="64"/>
  <c r="H64" i="64"/>
  <c r="H68" i="64" s="1"/>
  <c r="H65" i="64"/>
  <c r="H66" i="64"/>
  <c r="H67" i="64"/>
  <c r="P196" i="64"/>
  <c r="O62" i="64"/>
  <c r="O45" i="64"/>
  <c r="Z250" i="64"/>
  <c r="Y41" i="64"/>
  <c r="I58" i="64"/>
  <c r="I63" i="64" s="1"/>
  <c r="J56" i="64"/>
  <c r="J48" i="64"/>
  <c r="I59" i="64"/>
  <c r="J57" i="64"/>
  <c r="J49" i="64"/>
  <c r="M54" i="64"/>
  <c r="T86" i="35" l="1"/>
  <c r="N53" i="64"/>
  <c r="N54" i="64"/>
  <c r="H69" i="64"/>
  <c r="H70" i="64"/>
  <c r="H78" i="64" s="1"/>
  <c r="I67" i="64"/>
  <c r="I66" i="64"/>
  <c r="I65" i="64"/>
  <c r="I64" i="64"/>
  <c r="I68" i="64" s="1"/>
  <c r="J58" i="64"/>
  <c r="J63" i="64" s="1"/>
  <c r="K56" i="64"/>
  <c r="K48" i="64"/>
  <c r="K49" i="64"/>
  <c r="K57" i="64"/>
  <c r="J59" i="64"/>
  <c r="O51" i="64"/>
  <c r="O46" i="64"/>
  <c r="O52" i="64"/>
  <c r="O47" i="64"/>
  <c r="AA250" i="64"/>
  <c r="Z41" i="64"/>
  <c r="Q196" i="64"/>
  <c r="P62" i="64"/>
  <c r="P45" i="64"/>
  <c r="U86" i="35" l="1"/>
  <c r="O53" i="64"/>
  <c r="I70" i="64"/>
  <c r="I78" i="64" s="1"/>
  <c r="I69" i="64"/>
  <c r="O54" i="64"/>
  <c r="J65" i="64"/>
  <c r="J64" i="64"/>
  <c r="J68" i="64" s="1"/>
  <c r="J67" i="64"/>
  <c r="J66" i="64"/>
  <c r="P51" i="64"/>
  <c r="P46" i="64"/>
  <c r="P47" i="64"/>
  <c r="P54" i="64"/>
  <c r="AB251" i="64"/>
  <c r="AA41" i="64"/>
  <c r="K59" i="64"/>
  <c r="L57" i="64"/>
  <c r="L49" i="64"/>
  <c r="K58" i="64"/>
  <c r="K63" i="64" s="1"/>
  <c r="L56" i="64"/>
  <c r="L48" i="64"/>
  <c r="R196" i="64"/>
  <c r="Q62" i="64"/>
  <c r="Q45" i="64"/>
  <c r="V95" i="35" l="1"/>
  <c r="J70" i="64"/>
  <c r="J78" i="64" s="1"/>
  <c r="K78" i="64" s="1"/>
  <c r="J69" i="64"/>
  <c r="Q47" i="64"/>
  <c r="Q54" i="64"/>
  <c r="Q51" i="64"/>
  <c r="Q46" i="64"/>
  <c r="M49" i="64"/>
  <c r="M57" i="64"/>
  <c r="L59" i="64"/>
  <c r="K67" i="64"/>
  <c r="L67" i="64" s="1"/>
  <c r="M67" i="64" s="1"/>
  <c r="N67" i="64" s="1"/>
  <c r="O67" i="64" s="1"/>
  <c r="K64" i="64"/>
  <c r="K68" i="64" s="1"/>
  <c r="L68" i="64" s="1"/>
  <c r="M68" i="64" s="1"/>
  <c r="N68" i="64" s="1"/>
  <c r="O68" i="64" s="1"/>
  <c r="K66" i="64"/>
  <c r="L66" i="64" s="1"/>
  <c r="M66" i="64" s="1"/>
  <c r="N66" i="64" s="1"/>
  <c r="O66" i="64" s="1"/>
  <c r="K65" i="64"/>
  <c r="L65" i="64" s="1"/>
  <c r="M65" i="64" s="1"/>
  <c r="N65" i="64" s="1"/>
  <c r="O65" i="64" s="1"/>
  <c r="R62" i="64"/>
  <c r="S196" i="64"/>
  <c r="R45" i="64"/>
  <c r="L58" i="64"/>
  <c r="L63" i="64" s="1"/>
  <c r="M48" i="64"/>
  <c r="M56" i="64"/>
  <c r="AC251" i="64"/>
  <c r="AB42" i="64"/>
  <c r="W95" i="35" l="1"/>
  <c r="J71" i="64"/>
  <c r="I71" i="64"/>
  <c r="H71" i="64"/>
  <c r="O71" i="64"/>
  <c r="G71" i="64"/>
  <c r="D71" i="64"/>
  <c r="N71" i="64"/>
  <c r="F71" i="64"/>
  <c r="M71" i="64"/>
  <c r="E71" i="64"/>
  <c r="L71" i="64"/>
  <c r="K71" i="64"/>
  <c r="K69" i="64"/>
  <c r="K70" i="64"/>
  <c r="L70" i="64" s="1"/>
  <c r="L69" i="64"/>
  <c r="L73" i="64"/>
  <c r="L64" i="64"/>
  <c r="F73" i="64"/>
  <c r="D73" i="64"/>
  <c r="J73" i="64"/>
  <c r="G73" i="64"/>
  <c r="E73" i="64"/>
  <c r="I73" i="64"/>
  <c r="K73" i="64"/>
  <c r="K74" i="64" s="1"/>
  <c r="H73" i="64"/>
  <c r="AD251" i="64"/>
  <c r="AC42" i="64"/>
  <c r="M58" i="64"/>
  <c r="M63" i="64" s="1"/>
  <c r="N56" i="64"/>
  <c r="N48" i="64"/>
  <c r="N57" i="64"/>
  <c r="M59" i="64"/>
  <c r="N49" i="64"/>
  <c r="R47" i="64"/>
  <c r="R54" i="64"/>
  <c r="R51" i="64"/>
  <c r="R46" i="64"/>
  <c r="T196" i="64"/>
  <c r="S45" i="64"/>
  <c r="S62" i="64"/>
  <c r="X95" i="35" l="1"/>
  <c r="K76" i="64"/>
  <c r="K75" i="64"/>
  <c r="L75" i="64"/>
  <c r="M69" i="64"/>
  <c r="M73" i="64"/>
  <c r="M64" i="64"/>
  <c r="G74" i="64"/>
  <c r="G76" i="64" s="1"/>
  <c r="G75" i="64"/>
  <c r="J74" i="64"/>
  <c r="J76" i="64" s="1"/>
  <c r="J75" i="64"/>
  <c r="S51" i="64"/>
  <c r="S54" i="64" s="1"/>
  <c r="S46" i="64"/>
  <c r="S47" i="64"/>
  <c r="D74" i="64"/>
  <c r="D76" i="64" s="1"/>
  <c r="D75" i="64"/>
  <c r="T62" i="64"/>
  <c r="U196" i="64"/>
  <c r="T45" i="64"/>
  <c r="AE251" i="64"/>
  <c r="AD42" i="64"/>
  <c r="F74" i="64"/>
  <c r="F76" i="64" s="1"/>
  <c r="F75" i="64"/>
  <c r="H74" i="64"/>
  <c r="H76" i="64" s="1"/>
  <c r="H75" i="64"/>
  <c r="M70" i="64"/>
  <c r="B116" i="64"/>
  <c r="N58" i="64"/>
  <c r="N63" i="64" s="1"/>
  <c r="O56" i="64"/>
  <c r="O48" i="64"/>
  <c r="I74" i="64"/>
  <c r="I76" i="64" s="1"/>
  <c r="I75" i="64"/>
  <c r="L74" i="64"/>
  <c r="L76" i="64" s="1"/>
  <c r="O49" i="64"/>
  <c r="O57" i="64"/>
  <c r="N59" i="64"/>
  <c r="E74" i="64"/>
  <c r="E76" i="64" s="1"/>
  <c r="E75" i="64"/>
  <c r="Y95" i="35" l="1"/>
  <c r="M75" i="64"/>
  <c r="N69" i="64"/>
  <c r="N73" i="64"/>
  <c r="N64" i="64"/>
  <c r="I116" i="64"/>
  <c r="H116" i="64"/>
  <c r="G116" i="64"/>
  <c r="F116" i="64"/>
  <c r="M116" i="64"/>
  <c r="E116" i="64"/>
  <c r="L116" i="64"/>
  <c r="D116" i="64"/>
  <c r="K116" i="64"/>
  <c r="C116" i="64"/>
  <c r="J116" i="64"/>
  <c r="AF251" i="64"/>
  <c r="AE42" i="64"/>
  <c r="T54" i="64"/>
  <c r="T51" i="64"/>
  <c r="T46" i="64"/>
  <c r="T47" i="64"/>
  <c r="V196" i="64"/>
  <c r="U45" i="64"/>
  <c r="U62" i="64"/>
  <c r="O58" i="64"/>
  <c r="O63" i="64" s="1"/>
  <c r="P56" i="64"/>
  <c r="P48" i="64"/>
  <c r="N70" i="64"/>
  <c r="M74" i="64"/>
  <c r="M76" i="64" s="1"/>
  <c r="P49" i="64"/>
  <c r="O59" i="64"/>
  <c r="P57" i="64"/>
  <c r="Z95" i="35" l="1"/>
  <c r="N75" i="64"/>
  <c r="O69" i="64"/>
  <c r="O73" i="64"/>
  <c r="O64" i="64"/>
  <c r="O70" i="64"/>
  <c r="Q57" i="64"/>
  <c r="Q49" i="64"/>
  <c r="P59" i="64"/>
  <c r="W196" i="64"/>
  <c r="V45" i="64"/>
  <c r="V62" i="64"/>
  <c r="U51" i="64"/>
  <c r="U54" i="64" s="1"/>
  <c r="U46" i="64"/>
  <c r="U47" i="64"/>
  <c r="N74" i="64"/>
  <c r="N76" i="64" s="1"/>
  <c r="P58" i="64"/>
  <c r="P63" i="64" s="1"/>
  <c r="Q56" i="64"/>
  <c r="Q48" i="64"/>
  <c r="AG251" i="64"/>
  <c r="AF42" i="64"/>
  <c r="AA96" i="35" l="1"/>
  <c r="O75" i="64"/>
  <c r="AH251" i="64"/>
  <c r="AG42" i="64"/>
  <c r="R57" i="64"/>
  <c r="Q59" i="64"/>
  <c r="R49" i="64"/>
  <c r="Q58" i="64"/>
  <c r="Q63" i="64" s="1"/>
  <c r="R56" i="64"/>
  <c r="R48" i="64"/>
  <c r="V54" i="64"/>
  <c r="V51" i="64"/>
  <c r="V46" i="64"/>
  <c r="V47" i="64"/>
  <c r="X196" i="64"/>
  <c r="W62" i="64"/>
  <c r="W45" i="64"/>
  <c r="O74" i="64"/>
  <c r="O76" i="64" s="1"/>
  <c r="AB97" i="35" l="1"/>
  <c r="R63" i="64"/>
  <c r="R58" i="64"/>
  <c r="S48" i="64"/>
  <c r="S56" i="64"/>
  <c r="AI251" i="64"/>
  <c r="AH42" i="64"/>
  <c r="W51" i="64"/>
  <c r="W54" i="64" s="1"/>
  <c r="W46" i="64"/>
  <c r="W47" i="64"/>
  <c r="R59" i="64"/>
  <c r="S57" i="64"/>
  <c r="S49" i="64"/>
  <c r="Y196" i="64"/>
  <c r="X62" i="64"/>
  <c r="AC97" i="35" l="1"/>
  <c r="X117" i="64"/>
  <c r="X63" i="64"/>
  <c r="AJ251" i="64"/>
  <c r="AI42" i="64"/>
  <c r="S59" i="64"/>
  <c r="T57" i="64"/>
  <c r="T49" i="64"/>
  <c r="Z196" i="64"/>
  <c r="Y62" i="64"/>
  <c r="S58" i="64"/>
  <c r="S63" i="64" s="1"/>
  <c r="T56" i="64"/>
  <c r="T48" i="64"/>
  <c r="AD97" i="35" l="1"/>
  <c r="S117" i="64"/>
  <c r="U57" i="64"/>
  <c r="T59" i="64"/>
  <c r="U49" i="64"/>
  <c r="Z62" i="64"/>
  <c r="AA196" i="64"/>
  <c r="AB196" i="64" s="1"/>
  <c r="AC196" i="64" s="1"/>
  <c r="AD196" i="64" s="1"/>
  <c r="AE196" i="64" s="1"/>
  <c r="AF196" i="64" s="1"/>
  <c r="AG196" i="64" s="1"/>
  <c r="AH196" i="64" s="1"/>
  <c r="AI196" i="64" s="1"/>
  <c r="AJ196" i="64" s="1"/>
  <c r="AK196" i="64" s="1"/>
  <c r="AK251" i="64"/>
  <c r="AJ42" i="64"/>
  <c r="T58" i="64"/>
  <c r="T63" i="64" s="1"/>
  <c r="U48" i="64"/>
  <c r="U56" i="64"/>
  <c r="R117" i="64"/>
  <c r="Y117" i="64"/>
  <c r="Y63" i="64"/>
  <c r="AE97" i="35" l="1"/>
  <c r="U63" i="64"/>
  <c r="Z117" i="64"/>
  <c r="Z63" i="64"/>
  <c r="V49" i="64"/>
  <c r="V57" i="64"/>
  <c r="U59" i="64"/>
  <c r="U58" i="64"/>
  <c r="V56" i="64"/>
  <c r="V48" i="64"/>
  <c r="D72" i="64"/>
  <c r="D77" i="64" s="1"/>
  <c r="F72" i="64"/>
  <c r="F77" i="64" s="1"/>
  <c r="E72" i="64"/>
  <c r="E77" i="64" s="1"/>
  <c r="G72" i="64"/>
  <c r="G77" i="64" s="1"/>
  <c r="H72" i="64"/>
  <c r="H77" i="64" s="1"/>
  <c r="I72" i="64"/>
  <c r="I77" i="64" s="1"/>
  <c r="J72" i="64"/>
  <c r="J77" i="64" s="1"/>
  <c r="K72" i="64"/>
  <c r="L72" i="64"/>
  <c r="M72" i="64"/>
  <c r="N72" i="64"/>
  <c r="O72" i="64"/>
  <c r="AL251" i="64"/>
  <c r="AK42" i="64"/>
  <c r="AF97" i="35" l="1"/>
  <c r="K77" i="64"/>
  <c r="T117" i="64"/>
  <c r="AM251" i="64"/>
  <c r="AL42" i="64"/>
  <c r="W49" i="64"/>
  <c r="W59" i="64" s="1"/>
  <c r="V59" i="64"/>
  <c r="W57" i="64"/>
  <c r="V58" i="64"/>
  <c r="V63" i="64" s="1"/>
  <c r="W48" i="64"/>
  <c r="W58" i="64" s="1"/>
  <c r="W56" i="64"/>
  <c r="AG97" i="35" l="1"/>
  <c r="W63" i="64"/>
  <c r="U117" i="64"/>
  <c r="AN251" i="64"/>
  <c r="AM42" i="64"/>
  <c r="AH97" i="35" l="1"/>
  <c r="V117" i="64"/>
  <c r="AO251" i="64"/>
  <c r="AN42" i="64"/>
  <c r="AI97" i="35" l="1"/>
  <c r="AP251" i="64"/>
  <c r="AO42" i="64"/>
  <c r="W117" i="64"/>
  <c r="AJ97" i="35" l="1"/>
  <c r="AQ251" i="64"/>
  <c r="AP42" i="64"/>
  <c r="AK97" i="35" l="1"/>
  <c r="AR251" i="64"/>
  <c r="AQ42" i="64"/>
  <c r="AL97" i="35" l="1"/>
  <c r="AS251" i="64"/>
  <c r="AR42" i="64"/>
  <c r="AM97" i="35" l="1"/>
  <c r="AT251" i="64"/>
  <c r="AS42" i="64"/>
  <c r="AN97" i="35" l="1"/>
  <c r="AU251" i="64"/>
  <c r="AT42" i="64"/>
  <c r="AO97" i="35" l="1"/>
  <c r="AV251" i="64"/>
  <c r="AU42" i="64"/>
  <c r="AP97" i="35" l="1"/>
  <c r="AW251" i="64"/>
  <c r="AV42" i="64"/>
  <c r="AQ97" i="35" l="1"/>
  <c r="AX251" i="64"/>
  <c r="AW42" i="64"/>
  <c r="AR97" i="35" l="1"/>
  <c r="AY251" i="64"/>
  <c r="AY42" i="64" s="1"/>
  <c r="AX42" i="64"/>
  <c r="AS97" i="35" l="1"/>
  <c r="AT97" i="35" l="1"/>
  <c r="AU97" i="35" l="1"/>
  <c r="AV97" i="35" l="1"/>
  <c r="AW97" i="35" l="1"/>
  <c r="A16" i="63"/>
  <c r="A17" i="63" s="1"/>
  <c r="A18" i="63" s="1"/>
  <c r="A19" i="63" s="1"/>
  <c r="A20" i="63" s="1"/>
  <c r="A21" i="63" s="1"/>
  <c r="A22" i="63" s="1"/>
  <c r="A23" i="63" s="1"/>
  <c r="A24" i="63" s="1"/>
  <c r="A25" i="63" s="1"/>
  <c r="A26" i="63" s="1"/>
  <c r="A27" i="63" s="1"/>
  <c r="A28" i="63" s="1"/>
  <c r="A29" i="63" s="1"/>
  <c r="A30" i="63" s="1"/>
  <c r="A31" i="63" s="1"/>
  <c r="A32" i="63" s="1"/>
  <c r="A33" i="63" s="1"/>
  <c r="A34" i="63" s="1"/>
  <c r="A35" i="63" s="1"/>
  <c r="A36" i="63" s="1"/>
  <c r="A37" i="63" s="1"/>
  <c r="A38" i="63" s="1"/>
  <c r="A39" i="63" s="1"/>
  <c r="A14" i="34"/>
  <c r="A15" i="34" s="1"/>
  <c r="A16" i="34" s="1"/>
  <c r="A17" i="34" s="1"/>
  <c r="A18" i="34" s="1"/>
  <c r="A19" i="34" s="1"/>
  <c r="A20" i="34" s="1"/>
  <c r="A21" i="34" s="1"/>
  <c r="A22" i="34" s="1"/>
  <c r="A23" i="34" s="1"/>
  <c r="A24" i="34" s="1"/>
  <c r="A25" i="34" s="1"/>
  <c r="A26" i="34" s="1"/>
  <c r="A27" i="34" s="1"/>
  <c r="AX97" i="35" l="1"/>
  <c r="AY97" i="35" l="1"/>
  <c r="A35" i="59" l="1"/>
  <c r="A36" i="59" s="1"/>
  <c r="A37" i="59" s="1"/>
  <c r="A38" i="59" s="1"/>
  <c r="A39" i="59" s="1"/>
  <c r="A40" i="59" s="1"/>
  <c r="A41" i="59" s="1"/>
  <c r="A42" i="59" s="1"/>
  <c r="A43" i="59" s="1"/>
  <c r="A44" i="59" s="1"/>
  <c r="A45" i="59" s="1"/>
  <c r="A46" i="59" s="1"/>
  <c r="A47" i="59" s="1"/>
  <c r="A48" i="59" s="1"/>
  <c r="A49" i="59" s="1"/>
  <c r="A50" i="59" s="1"/>
  <c r="A51" i="59" s="1"/>
  <c r="A52" i="59" s="1"/>
  <c r="A53" i="59" s="1"/>
  <c r="A107" i="59"/>
  <c r="A108" i="59" s="1"/>
  <c r="A109" i="59" s="1"/>
  <c r="A110" i="59" s="1"/>
  <c r="A111" i="59" s="1"/>
  <c r="A112" i="59" s="1"/>
  <c r="A113" i="59" s="1"/>
  <c r="A114" i="59" s="1"/>
  <c r="A115" i="59" s="1"/>
  <c r="A116" i="59" s="1"/>
  <c r="A117" i="59" s="1"/>
  <c r="A118" i="59" s="1"/>
  <c r="A119" i="59" s="1"/>
  <c r="A120" i="59" s="1"/>
  <c r="A121" i="59" s="1"/>
  <c r="A122" i="59" s="1"/>
  <c r="A123" i="59" s="1"/>
  <c r="A124" i="59" s="1"/>
  <c r="A125" i="59" s="1"/>
  <c r="E207" i="59"/>
  <c r="F207" i="59" s="1"/>
  <c r="G207" i="59" s="1"/>
  <c r="H207" i="59" s="1"/>
  <c r="I207" i="59" s="1"/>
  <c r="J207" i="59" s="1"/>
  <c r="A83" i="59"/>
  <c r="A84" i="59" s="1"/>
  <c r="A85" i="59" s="1"/>
  <c r="A86" i="59" s="1"/>
  <c r="A87" i="59" s="1"/>
  <c r="A88" i="59" s="1"/>
  <c r="A89" i="59" s="1"/>
  <c r="A90" i="59" s="1"/>
  <c r="A91" i="59" s="1"/>
  <c r="A92" i="59" s="1"/>
  <c r="A93" i="59" s="1"/>
  <c r="A94" i="59" s="1"/>
  <c r="A95" i="59" s="1"/>
  <c r="A96" i="59" s="1"/>
  <c r="A97" i="59" s="1"/>
  <c r="A98" i="59" s="1"/>
  <c r="A99" i="59" s="1"/>
  <c r="A100" i="59" s="1"/>
  <c r="A101" i="59" s="1"/>
  <c r="A59" i="59"/>
  <c r="A60" i="59" s="1"/>
  <c r="A61" i="59" s="1"/>
  <c r="A62" i="59" s="1"/>
  <c r="A63" i="59" s="1"/>
  <c r="A64" i="59" s="1"/>
  <c r="A65" i="59" s="1"/>
  <c r="A66" i="59" s="1"/>
  <c r="A67" i="59" s="1"/>
  <c r="A68" i="59" s="1"/>
  <c r="A69" i="59" s="1"/>
  <c r="A70" i="59" s="1"/>
  <c r="A71" i="59" s="1"/>
  <c r="A72" i="59" s="1"/>
  <c r="A73" i="59" s="1"/>
  <c r="A74" i="59" s="1"/>
  <c r="A75" i="59" s="1"/>
  <c r="A76" i="59" s="1"/>
  <c r="A77" i="59" s="1"/>
  <c r="K202" i="59" l="1"/>
  <c r="AC37" i="58" l="1"/>
  <c r="AD37" i="58" s="1"/>
  <c r="AE37" i="58" s="1"/>
  <c r="AF37" i="58" s="1"/>
  <c r="AG37" i="58" s="1"/>
  <c r="AH37" i="58" s="1"/>
  <c r="AI37" i="58" s="1"/>
  <c r="AJ37" i="58" s="1"/>
  <c r="AK37" i="58" s="1"/>
  <c r="AL37" i="58" s="1"/>
  <c r="AM37" i="58" s="1"/>
  <c r="AN37" i="58" s="1"/>
  <c r="AO37" i="58" s="1"/>
  <c r="AP37" i="58" s="1"/>
  <c r="AQ37" i="58" s="1"/>
  <c r="AR37" i="58" s="1"/>
  <c r="AS37" i="58" s="1"/>
  <c r="AT37" i="58" s="1"/>
  <c r="AU37" i="58" s="1"/>
  <c r="AV37" i="58" s="1"/>
  <c r="AW37" i="58" s="1"/>
  <c r="AX37" i="58" s="1"/>
  <c r="AY37" i="58" s="1"/>
  <c r="AZ37" i="58" s="1"/>
  <c r="M37" i="58"/>
  <c r="N37" i="58" s="1"/>
  <c r="O37" i="58" s="1"/>
  <c r="P37" i="58" s="1"/>
  <c r="Q37" i="58" s="1"/>
  <c r="A10" i="58"/>
  <c r="A11" i="58" s="1"/>
  <c r="A12" i="58" s="1"/>
  <c r="A13" i="58" s="1"/>
  <c r="A14" i="58" s="1"/>
  <c r="A15" i="58" s="1"/>
  <c r="A16" i="58" s="1"/>
  <c r="A17" i="58" s="1"/>
  <c r="A18" i="58" s="1"/>
  <c r="A19" i="58" s="1"/>
  <c r="A20" i="58" s="1"/>
  <c r="A21" i="58" s="1"/>
  <c r="A22" i="58" s="1"/>
  <c r="A23" i="58" s="1"/>
  <c r="AC70" i="56"/>
  <c r="AD70" i="56" s="1"/>
  <c r="AE70" i="56" s="1"/>
  <c r="AF70" i="56" s="1"/>
  <c r="AG70" i="56" s="1"/>
  <c r="AH70" i="56" s="1"/>
  <c r="AI70" i="56" s="1"/>
  <c r="AJ70" i="56" s="1"/>
  <c r="AK70" i="56" s="1"/>
  <c r="AL70" i="56" s="1"/>
  <c r="AM70" i="56" s="1"/>
  <c r="AN70" i="56" s="1"/>
  <c r="AO70" i="56" s="1"/>
  <c r="AP70" i="56" s="1"/>
  <c r="AQ70" i="56" s="1"/>
  <c r="AR70" i="56" s="1"/>
  <c r="AS70" i="56" s="1"/>
  <c r="AT70" i="56" s="1"/>
  <c r="AU70" i="56" s="1"/>
  <c r="AV70" i="56" s="1"/>
  <c r="AW70" i="56" s="1"/>
  <c r="AX70" i="56" s="1"/>
  <c r="AY70" i="56" s="1"/>
  <c r="AZ70" i="56" s="1"/>
  <c r="L70" i="56"/>
  <c r="M70" i="56" s="1"/>
  <c r="N70" i="56" s="1"/>
  <c r="O70" i="56" s="1"/>
  <c r="P70" i="56" s="1"/>
  <c r="Q70" i="56" s="1"/>
  <c r="A16" i="56"/>
  <c r="A17" i="56" s="1"/>
  <c r="A18" i="56" s="1"/>
  <c r="A19" i="56" s="1"/>
  <c r="A20" i="56" s="1"/>
  <c r="A21" i="56" s="1"/>
  <c r="A22" i="56" s="1"/>
  <c r="A23" i="56" s="1"/>
  <c r="A24" i="56" s="1"/>
  <c r="A25" i="56" s="1"/>
  <c r="A26" i="56" s="1"/>
  <c r="A27" i="56" s="1"/>
  <c r="A28" i="56" s="1"/>
  <c r="A29" i="56" s="1"/>
  <c r="A10" i="55"/>
  <c r="A11" i="55" s="1"/>
  <c r="A12" i="55" s="1"/>
  <c r="A13" i="55" s="1"/>
  <c r="A14" i="55" s="1"/>
  <c r="A15" i="55" s="1"/>
  <c r="A16" i="55" s="1"/>
  <c r="A17" i="55" s="1"/>
  <c r="A18" i="55" s="1"/>
  <c r="A19" i="55" s="1"/>
  <c r="A20" i="55" s="1"/>
  <c r="A21" i="55" s="1"/>
  <c r="A22" i="55" s="1"/>
  <c r="A23" i="55" s="1"/>
  <c r="A24" i="55" s="1"/>
  <c r="A25" i="55" s="1"/>
  <c r="A26" i="55" s="1"/>
  <c r="A27" i="55" s="1"/>
  <c r="A28" i="55" s="1"/>
  <c r="A29" i="55" s="1"/>
  <c r="A30" i="55" s="1"/>
  <c r="A31" i="55" s="1"/>
  <c r="A32" i="55" s="1"/>
  <c r="A33" i="55" s="1"/>
  <c r="A11" i="51"/>
  <c r="A12" i="51" s="1"/>
  <c r="A13" i="51" s="1"/>
  <c r="A14" i="51" s="1"/>
  <c r="A15" i="51" s="1"/>
  <c r="A16" i="51" s="1"/>
  <c r="A17" i="51" s="1"/>
  <c r="A18" i="51" s="1"/>
  <c r="A19" i="51" s="1"/>
  <c r="A20" i="51" s="1"/>
  <c r="A21" i="51" s="1"/>
  <c r="A22" i="51" s="1"/>
  <c r="A23" i="51" s="1"/>
  <c r="A24" i="51" s="1"/>
  <c r="A11" i="50"/>
  <c r="A12" i="50" s="1"/>
  <c r="A13" i="50" s="1"/>
  <c r="A14" i="50" s="1"/>
  <c r="A15" i="50" s="1"/>
  <c r="A16" i="50" s="1"/>
  <c r="A17" i="50" s="1"/>
  <c r="A18" i="50" s="1"/>
  <c r="A19" i="50" s="1"/>
  <c r="A20" i="50" s="1"/>
  <c r="A21" i="50" s="1"/>
  <c r="A22" i="50" s="1"/>
  <c r="A23" i="50" s="1"/>
  <c r="A24" i="50" s="1"/>
  <c r="A10" i="49"/>
  <c r="A11" i="49" s="1"/>
  <c r="A12" i="49" s="1"/>
  <c r="A13" i="49" s="1"/>
  <c r="A14" i="49" s="1"/>
  <c r="A15" i="49" s="1"/>
  <c r="A16" i="49" s="1"/>
  <c r="A17" i="49" s="1"/>
  <c r="A18" i="49" s="1"/>
  <c r="A19" i="49" s="1"/>
  <c r="A20" i="49" s="1"/>
  <c r="A21" i="49" s="1"/>
  <c r="A22" i="49" s="1"/>
  <c r="A23" i="49" s="1"/>
  <c r="A10" i="48"/>
  <c r="A11" i="48" s="1"/>
  <c r="A12" i="48" s="1"/>
  <c r="A13" i="48" s="1"/>
  <c r="A14" i="48" s="1"/>
  <c r="A15" i="48" s="1"/>
  <c r="A16" i="48" s="1"/>
  <c r="A17" i="48" s="1"/>
  <c r="A18" i="48" s="1"/>
  <c r="A19" i="48" s="1"/>
  <c r="A20" i="48" s="1"/>
  <c r="A21" i="48" s="1"/>
  <c r="A22" i="48" s="1"/>
  <c r="A23" i="48" s="1"/>
  <c r="A10" i="46"/>
  <c r="A11" i="46" s="1"/>
  <c r="A12" i="46" s="1"/>
  <c r="A13" i="46" s="1"/>
  <c r="A14" i="46" s="1"/>
  <c r="A15" i="46" s="1"/>
  <c r="A16" i="46" s="1"/>
  <c r="A17" i="46" s="1"/>
  <c r="A18" i="46" s="1"/>
  <c r="A19" i="46" s="1"/>
  <c r="A20" i="46" s="1"/>
  <c r="A21" i="46" s="1"/>
  <c r="A22" i="46" s="1"/>
  <c r="A23" i="46" s="1"/>
  <c r="A10" i="45"/>
  <c r="A11" i="45" s="1"/>
  <c r="A12" i="45" s="1"/>
  <c r="A13" i="45" s="1"/>
  <c r="A14" i="45" s="1"/>
  <c r="A15" i="45" s="1"/>
  <c r="A16" i="45" s="1"/>
  <c r="A17" i="45" s="1"/>
  <c r="A18" i="45" s="1"/>
  <c r="A19" i="45" s="1"/>
  <c r="A20" i="45" s="1"/>
  <c r="A21" i="45" s="1"/>
  <c r="A22" i="45" s="1"/>
  <c r="A23" i="45" s="1"/>
  <c r="A10" i="43"/>
  <c r="A11" i="43" s="1"/>
  <c r="A12" i="43" s="1"/>
  <c r="A13" i="43" s="1"/>
  <c r="A14" i="43" s="1"/>
  <c r="A15" i="43" s="1"/>
  <c r="A16" i="43" s="1"/>
  <c r="A17" i="43" s="1"/>
  <c r="A18" i="43" s="1"/>
  <c r="A19" i="43" s="1"/>
  <c r="A20" i="43" s="1"/>
  <c r="A21" i="43" s="1"/>
  <c r="A22" i="43" s="1"/>
  <c r="A23" i="43" s="1"/>
  <c r="C158" i="18"/>
  <c r="D158" i="18" s="1"/>
  <c r="E158" i="18" s="1"/>
  <c r="F158" i="18" s="1"/>
  <c r="G158" i="18" s="1"/>
  <c r="H158" i="18" s="1"/>
  <c r="I158" i="18" s="1"/>
  <c r="J158" i="18" s="1"/>
  <c r="K158" i="18" s="1"/>
  <c r="L158" i="18" s="1"/>
  <c r="M158" i="18" s="1"/>
  <c r="N158" i="18" s="1"/>
  <c r="O158" i="18" s="1"/>
  <c r="P158" i="18" s="1"/>
  <c r="Q158" i="18" s="1"/>
  <c r="R158" i="18" s="1"/>
  <c r="S158" i="18" s="1"/>
  <c r="T158" i="18" s="1"/>
  <c r="U158" i="18" s="1"/>
  <c r="B46" i="18"/>
  <c r="B45" i="18"/>
  <c r="B44" i="18"/>
  <c r="B43" i="18"/>
  <c r="B40" i="18"/>
  <c r="B38" i="18"/>
  <c r="B37" i="18"/>
  <c r="B34" i="18"/>
  <c r="D79" i="18" s="1"/>
  <c r="B33" i="18"/>
  <c r="B79" i="18" s="1"/>
  <c r="B32" i="18"/>
  <c r="C79" i="18" s="1"/>
  <c r="B28" i="18"/>
  <c r="B27" i="18"/>
  <c r="B23" i="18"/>
  <c r="C23" i="18" s="1"/>
  <c r="D23" i="18" s="1"/>
  <c r="E23" i="18" s="1"/>
  <c r="F23" i="18" s="1"/>
  <c r="G23" i="18" s="1"/>
  <c r="B17" i="18"/>
  <c r="B11" i="18"/>
  <c r="C4" i="18"/>
  <c r="C3" i="18"/>
  <c r="B3" i="18"/>
  <c r="A10" i="40"/>
  <c r="A11" i="40" s="1"/>
  <c r="A12" i="40" s="1"/>
  <c r="A13" i="40" s="1"/>
  <c r="A14" i="40" s="1"/>
  <c r="A15" i="40" s="1"/>
  <c r="A16" i="40" s="1"/>
  <c r="A17" i="40" s="1"/>
  <c r="A18" i="40" s="1"/>
  <c r="A19" i="40" s="1"/>
  <c r="A20" i="40" s="1"/>
  <c r="A21" i="40" s="1"/>
  <c r="A22" i="40" s="1"/>
  <c r="A23" i="40" s="1"/>
  <c r="A11" i="39"/>
  <c r="A12" i="39" s="1"/>
  <c r="A13" i="39" s="1"/>
  <c r="A14" i="39" s="1"/>
  <c r="A15" i="39" s="1"/>
  <c r="A16" i="39" s="1"/>
  <c r="A17" i="39" s="1"/>
  <c r="A18" i="39" s="1"/>
  <c r="A19" i="39" s="1"/>
  <c r="A20" i="39" s="1"/>
  <c r="A21" i="39" s="1"/>
  <c r="A22" i="39" s="1"/>
  <c r="A23" i="39" s="1"/>
  <c r="A24" i="39" s="1"/>
  <c r="D80" i="18" l="1"/>
  <c r="D21" i="18"/>
  <c r="C80" i="18"/>
  <c r="C21" i="18"/>
  <c r="B80" i="18"/>
  <c r="T71" i="18"/>
  <c r="T75" i="18" s="1"/>
  <c r="F21" i="18"/>
  <c r="I49" i="18"/>
  <c r="G21" i="18"/>
  <c r="B49" i="18"/>
  <c r="F49" i="18"/>
  <c r="J49" i="18"/>
  <c r="D54" i="18"/>
  <c r="H54" i="18"/>
  <c r="L54" i="18"/>
  <c r="P54" i="18"/>
  <c r="T54" i="18"/>
  <c r="D66" i="18"/>
  <c r="H66" i="18"/>
  <c r="L66" i="18"/>
  <c r="P66" i="18"/>
  <c r="T66" i="18"/>
  <c r="E71" i="18"/>
  <c r="I71" i="18"/>
  <c r="M71" i="18"/>
  <c r="Q71" i="18"/>
  <c r="U71" i="18"/>
  <c r="G49" i="18"/>
  <c r="E54" i="18"/>
  <c r="M54" i="18"/>
  <c r="Q54" i="18"/>
  <c r="U54" i="18"/>
  <c r="E66" i="18"/>
  <c r="I66" i="18"/>
  <c r="M66" i="18"/>
  <c r="Q66" i="18"/>
  <c r="U66" i="18"/>
  <c r="B71" i="18"/>
  <c r="F71" i="18"/>
  <c r="J71" i="18"/>
  <c r="N71" i="18"/>
  <c r="R71" i="18"/>
  <c r="C49" i="18"/>
  <c r="I54" i="18"/>
  <c r="D49" i="18"/>
  <c r="H49" i="18"/>
  <c r="B54" i="18"/>
  <c r="F54" i="18"/>
  <c r="J54" i="18"/>
  <c r="N54" i="18"/>
  <c r="R54" i="18"/>
  <c r="B66" i="18"/>
  <c r="F66" i="18"/>
  <c r="J66" i="18"/>
  <c r="N66" i="18"/>
  <c r="R66" i="18"/>
  <c r="C71" i="18"/>
  <c r="G71" i="18"/>
  <c r="K71" i="18"/>
  <c r="O71" i="18"/>
  <c r="S71" i="18"/>
  <c r="K49" i="18"/>
  <c r="E21" i="18"/>
  <c r="E49" i="18"/>
  <c r="C54" i="18"/>
  <c r="G54" i="18"/>
  <c r="K54" i="18"/>
  <c r="O54" i="18"/>
  <c r="S54" i="18"/>
  <c r="C66" i="18"/>
  <c r="G66" i="18"/>
  <c r="K66" i="18"/>
  <c r="O66" i="18"/>
  <c r="S66" i="18"/>
  <c r="D71" i="18"/>
  <c r="H71" i="18"/>
  <c r="L71" i="18"/>
  <c r="P71" i="18"/>
  <c r="R37" i="58"/>
  <c r="S37" i="58" s="1"/>
  <c r="T37" i="58" s="1"/>
  <c r="U37" i="58" s="1"/>
  <c r="V37" i="58" s="1"/>
  <c r="W37" i="58" s="1"/>
  <c r="X37" i="58" s="1"/>
  <c r="Y37" i="58" s="1"/>
  <c r="Z37" i="58" s="1"/>
  <c r="AA37" i="58" s="1"/>
  <c r="AB37" i="58" s="1"/>
  <c r="AC38" i="58" s="1"/>
  <c r="AD38" i="58" s="1"/>
  <c r="AE38" i="58" s="1"/>
  <c r="AF38" i="58" s="1"/>
  <c r="AG38" i="58" s="1"/>
  <c r="AH38" i="58" s="1"/>
  <c r="AI38" i="58" s="1"/>
  <c r="AJ38" i="58" s="1"/>
  <c r="AK38" i="58" s="1"/>
  <c r="AL38" i="58" s="1"/>
  <c r="AM38" i="58" s="1"/>
  <c r="AN38" i="58" s="1"/>
  <c r="AO38" i="58" s="1"/>
  <c r="AP38" i="58" s="1"/>
  <c r="AQ38" i="58" s="1"/>
  <c r="AR38" i="58" s="1"/>
  <c r="AS38" i="58" s="1"/>
  <c r="AT38" i="58" s="1"/>
  <c r="AU38" i="58" s="1"/>
  <c r="AV38" i="58" s="1"/>
  <c r="AW38" i="58" s="1"/>
  <c r="AX38" i="58" s="1"/>
  <c r="AY38" i="58" s="1"/>
  <c r="AZ38" i="58" s="1"/>
  <c r="R68" i="58"/>
  <c r="S68" i="58" s="1"/>
  <c r="T68" i="58" s="1"/>
  <c r="U68" i="58" s="1"/>
  <c r="V68" i="58" s="1"/>
  <c r="W77" i="58" s="1"/>
  <c r="X77" i="58" s="1"/>
  <c r="Y77" i="58" s="1"/>
  <c r="Z77" i="58" s="1"/>
  <c r="AA77" i="58" s="1"/>
  <c r="AB77" i="58" s="1"/>
  <c r="AC78" i="58" s="1"/>
  <c r="AD78" i="58" s="1"/>
  <c r="AE78" i="58" s="1"/>
  <c r="AF78" i="58" s="1"/>
  <c r="AG78" i="58" s="1"/>
  <c r="AH78" i="58" s="1"/>
  <c r="AI78" i="58" s="1"/>
  <c r="AJ78" i="58" s="1"/>
  <c r="AK78" i="58" s="1"/>
  <c r="AL78" i="58" s="1"/>
  <c r="AM78" i="58" s="1"/>
  <c r="AN78" i="58" s="1"/>
  <c r="AO78" i="58" s="1"/>
  <c r="AP78" i="58" s="1"/>
  <c r="AQ78" i="58" s="1"/>
  <c r="AR78" i="58" s="1"/>
  <c r="AS78" i="58" s="1"/>
  <c r="AT78" i="58" s="1"/>
  <c r="AU78" i="58" s="1"/>
  <c r="AV78" i="58" s="1"/>
  <c r="AW78" i="58" s="1"/>
  <c r="AX78" i="58" s="1"/>
  <c r="AY78" i="58" s="1"/>
  <c r="AZ78" i="58" s="1"/>
  <c r="R70" i="56"/>
  <c r="S70" i="56" s="1"/>
  <c r="T70" i="56" s="1"/>
  <c r="U70" i="56" s="1"/>
  <c r="V70" i="56" s="1"/>
  <c r="W70" i="56" s="1"/>
  <c r="X70" i="56" s="1"/>
  <c r="Y70" i="56" s="1"/>
  <c r="Z70" i="56" s="1"/>
  <c r="AA70" i="56" s="1"/>
  <c r="AB70" i="56" s="1"/>
  <c r="AC71" i="56" s="1"/>
  <c r="AD71" i="56" s="1"/>
  <c r="AE71" i="56" s="1"/>
  <c r="AF71" i="56" s="1"/>
  <c r="AG71" i="56" s="1"/>
  <c r="AH71" i="56" s="1"/>
  <c r="AI71" i="56" s="1"/>
  <c r="AJ71" i="56" s="1"/>
  <c r="AK71" i="56" s="1"/>
  <c r="AL71" i="56" s="1"/>
  <c r="AM71" i="56" s="1"/>
  <c r="AN71" i="56" s="1"/>
  <c r="AO71" i="56" s="1"/>
  <c r="AP71" i="56" s="1"/>
  <c r="AQ71" i="56" s="1"/>
  <c r="AR71" i="56" s="1"/>
  <c r="AS71" i="56" s="1"/>
  <c r="AT71" i="56" s="1"/>
  <c r="AU71" i="56" s="1"/>
  <c r="AV71" i="56" s="1"/>
  <c r="AW71" i="56" s="1"/>
  <c r="AX71" i="56" s="1"/>
  <c r="AY71" i="56" s="1"/>
  <c r="AZ71" i="56" s="1"/>
  <c r="R101" i="56"/>
  <c r="S101" i="56" s="1"/>
  <c r="T101" i="56" s="1"/>
  <c r="U101" i="56" s="1"/>
  <c r="V101" i="56" s="1"/>
  <c r="W110" i="56" s="1"/>
  <c r="X110" i="56" s="1"/>
  <c r="Y110" i="56" s="1"/>
  <c r="Z110" i="56" s="1"/>
  <c r="AA110" i="56" s="1"/>
  <c r="AB110" i="56" s="1"/>
  <c r="AC111" i="56" s="1"/>
  <c r="AD111" i="56" s="1"/>
  <c r="AE111" i="56" s="1"/>
  <c r="AF111" i="56" s="1"/>
  <c r="AG111" i="56" s="1"/>
  <c r="AH111" i="56" s="1"/>
  <c r="AI111" i="56" s="1"/>
  <c r="AJ111" i="56" s="1"/>
  <c r="AK111" i="56" s="1"/>
  <c r="AL111" i="56" s="1"/>
  <c r="AM111" i="56" s="1"/>
  <c r="AN111" i="56" s="1"/>
  <c r="AO111" i="56" s="1"/>
  <c r="AP111" i="56" s="1"/>
  <c r="AQ111" i="56" s="1"/>
  <c r="AR111" i="56" s="1"/>
  <c r="AS111" i="56" s="1"/>
  <c r="AT111" i="56" s="1"/>
  <c r="AU111" i="56" s="1"/>
  <c r="AV111" i="56" s="1"/>
  <c r="AW111" i="56" s="1"/>
  <c r="AX111" i="56" s="1"/>
  <c r="AY111" i="56" s="1"/>
  <c r="AZ111" i="56" s="1"/>
  <c r="Q64" i="39"/>
  <c r="R64" i="39" s="1"/>
  <c r="S64" i="39" s="1"/>
  <c r="T64" i="39" s="1"/>
  <c r="U64" i="39" s="1"/>
  <c r="V73" i="39" s="1"/>
  <c r="W73" i="39" s="1"/>
  <c r="X73" i="39" s="1"/>
  <c r="Y73" i="39" s="1"/>
  <c r="Z73" i="39" s="1"/>
  <c r="AA73" i="39" s="1"/>
  <c r="AB74" i="39" s="1"/>
  <c r="AC74" i="39" s="1"/>
  <c r="AD74" i="39" s="1"/>
  <c r="AE74" i="39" s="1"/>
  <c r="AF74" i="39" s="1"/>
  <c r="AG74" i="39" s="1"/>
  <c r="AH74" i="39" s="1"/>
  <c r="AI74" i="39" s="1"/>
  <c r="AJ74" i="39" s="1"/>
  <c r="AK74" i="39" s="1"/>
  <c r="AL74" i="39" s="1"/>
  <c r="AM74" i="39" s="1"/>
  <c r="AN74" i="39" s="1"/>
  <c r="AO74" i="39" s="1"/>
  <c r="AP74" i="39" s="1"/>
  <c r="AQ74" i="39" s="1"/>
  <c r="AR74" i="39" s="1"/>
  <c r="AS74" i="39" s="1"/>
  <c r="AT74" i="39" s="1"/>
  <c r="AU74" i="39" s="1"/>
  <c r="AV74" i="39" s="1"/>
  <c r="AW74" i="39" s="1"/>
  <c r="AX74" i="39" s="1"/>
  <c r="AY74" i="39" s="1"/>
  <c r="F80" i="18" l="1"/>
  <c r="E80" i="18"/>
  <c r="T73" i="18"/>
  <c r="T72" i="18"/>
  <c r="T74" i="18"/>
  <c r="D75" i="18"/>
  <c r="D74" i="18"/>
  <c r="D73" i="18"/>
  <c r="D72" i="18"/>
  <c r="G68" i="18"/>
  <c r="G67" i="18"/>
  <c r="K62" i="18"/>
  <c r="K61" i="18"/>
  <c r="K59" i="18"/>
  <c r="K58" i="18"/>
  <c r="K56" i="18"/>
  <c r="K55" i="18"/>
  <c r="K75" i="18"/>
  <c r="K74" i="18"/>
  <c r="K73" i="18"/>
  <c r="K72" i="18"/>
  <c r="N68" i="18"/>
  <c r="N67" i="18"/>
  <c r="R62" i="18"/>
  <c r="R61" i="18"/>
  <c r="R59" i="18"/>
  <c r="R58" i="18"/>
  <c r="R56" i="18"/>
  <c r="S55" i="18" s="1"/>
  <c r="B62" i="18"/>
  <c r="B61" i="18"/>
  <c r="B59" i="18"/>
  <c r="B58" i="18"/>
  <c r="B55" i="18"/>
  <c r="F75" i="18"/>
  <c r="F74" i="18"/>
  <c r="F73" i="18"/>
  <c r="F72" i="18"/>
  <c r="M68" i="18"/>
  <c r="M67" i="18"/>
  <c r="Q62" i="18"/>
  <c r="Q61" i="18"/>
  <c r="Q59" i="18"/>
  <c r="Q58" i="18"/>
  <c r="Q56" i="18"/>
  <c r="R55" i="18" s="1"/>
  <c r="U75" i="18"/>
  <c r="U74" i="18"/>
  <c r="U73" i="18"/>
  <c r="U72" i="18"/>
  <c r="E75" i="18"/>
  <c r="E74" i="18"/>
  <c r="E73" i="18"/>
  <c r="E72" i="18"/>
  <c r="H68" i="18"/>
  <c r="H67" i="18"/>
  <c r="L62" i="18"/>
  <c r="L61" i="18"/>
  <c r="L59" i="18"/>
  <c r="L58" i="18"/>
  <c r="L56" i="18"/>
  <c r="L55" i="18"/>
  <c r="P75" i="18"/>
  <c r="P74" i="18"/>
  <c r="P73" i="18"/>
  <c r="P72" i="18"/>
  <c r="S68" i="18"/>
  <c r="S67" i="18"/>
  <c r="C68" i="18"/>
  <c r="C67" i="18"/>
  <c r="G62" i="18"/>
  <c r="G61" i="18"/>
  <c r="G59" i="18"/>
  <c r="G58" i="18"/>
  <c r="G56" i="18"/>
  <c r="G55" i="18"/>
  <c r="G75" i="18"/>
  <c r="G74" i="18"/>
  <c r="G73" i="18"/>
  <c r="G72" i="18"/>
  <c r="J68" i="18"/>
  <c r="J67" i="18"/>
  <c r="N62" i="18"/>
  <c r="N61" i="18"/>
  <c r="N59" i="18"/>
  <c r="N58" i="18"/>
  <c r="N56" i="18"/>
  <c r="N55" i="18"/>
  <c r="R75" i="18"/>
  <c r="R74" i="18"/>
  <c r="R73" i="18"/>
  <c r="R72" i="18"/>
  <c r="B56" i="18"/>
  <c r="B75" i="18"/>
  <c r="B74" i="18"/>
  <c r="B73" i="18"/>
  <c r="B72" i="18"/>
  <c r="I68" i="18"/>
  <c r="I67" i="18"/>
  <c r="M62" i="18"/>
  <c r="M61" i="18"/>
  <c r="M59" i="18"/>
  <c r="M58" i="18"/>
  <c r="M56" i="18"/>
  <c r="M55" i="18"/>
  <c r="Q75" i="18"/>
  <c r="Q74" i="18"/>
  <c r="Q73" i="18"/>
  <c r="Q72" i="18"/>
  <c r="T68" i="18"/>
  <c r="T67" i="18"/>
  <c r="D68" i="18"/>
  <c r="D67" i="18"/>
  <c r="H62" i="18"/>
  <c r="H61" i="18"/>
  <c r="H59" i="18"/>
  <c r="H58" i="18"/>
  <c r="H56" i="18"/>
  <c r="H55" i="18"/>
  <c r="L75" i="18"/>
  <c r="L74" i="18"/>
  <c r="L73" i="18"/>
  <c r="L72" i="18"/>
  <c r="O68" i="18"/>
  <c r="O67" i="18"/>
  <c r="S62" i="18"/>
  <c r="S61" i="18"/>
  <c r="S59" i="18"/>
  <c r="S58" i="18"/>
  <c r="S56" i="18"/>
  <c r="T55" i="18" s="1"/>
  <c r="C62" i="18"/>
  <c r="C61" i="18"/>
  <c r="C59" i="18"/>
  <c r="C58" i="18"/>
  <c r="C56" i="18"/>
  <c r="C55" i="18"/>
  <c r="S75" i="18"/>
  <c r="S74" i="18"/>
  <c r="S73" i="18"/>
  <c r="S72" i="18"/>
  <c r="C75" i="18"/>
  <c r="C74" i="18"/>
  <c r="C73" i="18"/>
  <c r="C72" i="18"/>
  <c r="F68" i="18"/>
  <c r="F67" i="18"/>
  <c r="J62" i="18"/>
  <c r="J61" i="18"/>
  <c r="J59" i="18"/>
  <c r="J58" i="18"/>
  <c r="J56" i="18"/>
  <c r="J55" i="18"/>
  <c r="N75" i="18"/>
  <c r="N74" i="18"/>
  <c r="N73" i="18"/>
  <c r="N72" i="18"/>
  <c r="U68" i="18"/>
  <c r="U67" i="18"/>
  <c r="E68" i="18"/>
  <c r="E67" i="18"/>
  <c r="E62" i="18"/>
  <c r="E61" i="18"/>
  <c r="E59" i="18"/>
  <c r="E58" i="18"/>
  <c r="E56" i="18"/>
  <c r="E55" i="18"/>
  <c r="M75" i="18"/>
  <c r="M74" i="18"/>
  <c r="M73" i="18"/>
  <c r="M72" i="18"/>
  <c r="P68" i="18"/>
  <c r="P67" i="18"/>
  <c r="T62" i="18"/>
  <c r="T61" i="18"/>
  <c r="T59" i="18"/>
  <c r="T58" i="18"/>
  <c r="T56" i="18"/>
  <c r="U55" i="18" s="1"/>
  <c r="D62" i="18"/>
  <c r="D61" i="18"/>
  <c r="D59" i="18"/>
  <c r="D58" i="18"/>
  <c r="D56" i="18"/>
  <c r="D55" i="18"/>
  <c r="H75" i="18"/>
  <c r="H74" i="18"/>
  <c r="H73" i="18"/>
  <c r="H72" i="18"/>
  <c r="K68" i="18"/>
  <c r="K67" i="18"/>
  <c r="O62" i="18"/>
  <c r="O61" i="18"/>
  <c r="O59" i="18"/>
  <c r="O58" i="18"/>
  <c r="O56" i="18"/>
  <c r="O55" i="18"/>
  <c r="O75" i="18"/>
  <c r="O74" i="18"/>
  <c r="O73" i="18"/>
  <c r="O72" i="18"/>
  <c r="R68" i="18"/>
  <c r="R67" i="18"/>
  <c r="D4" i="18"/>
  <c r="B68" i="18"/>
  <c r="D3" i="18"/>
  <c r="F62" i="18"/>
  <c r="F61" i="18"/>
  <c r="F59" i="18"/>
  <c r="F58" i="18"/>
  <c r="F56" i="18"/>
  <c r="F55" i="18"/>
  <c r="I62" i="18"/>
  <c r="I61" i="18"/>
  <c r="I59" i="18"/>
  <c r="I58" i="18"/>
  <c r="I56" i="18"/>
  <c r="I55" i="18"/>
  <c r="J75" i="18"/>
  <c r="J74" i="18"/>
  <c r="J73" i="18"/>
  <c r="J72" i="18"/>
  <c r="Q68" i="18"/>
  <c r="Q67" i="18"/>
  <c r="U62" i="18"/>
  <c r="U61" i="18"/>
  <c r="U59" i="18"/>
  <c r="U58" i="18"/>
  <c r="U56" i="18"/>
  <c r="I75" i="18"/>
  <c r="I74" i="18"/>
  <c r="I73" i="18"/>
  <c r="I72" i="18"/>
  <c r="L68" i="18"/>
  <c r="L67" i="18"/>
  <c r="P62" i="18"/>
  <c r="P61" i="18"/>
  <c r="P59" i="18"/>
  <c r="P58" i="18"/>
  <c r="P56" i="18"/>
  <c r="Q55" i="18" s="1"/>
  <c r="P55" i="18"/>
  <c r="Q81" i="34"/>
  <c r="R81" i="34" s="1"/>
  <c r="S81" i="34" s="1"/>
  <c r="T81" i="34" s="1"/>
  <c r="U81" i="34" s="1"/>
  <c r="V90" i="34" s="1"/>
  <c r="W90" i="34" s="1"/>
  <c r="X90" i="34" s="1"/>
  <c r="Y90" i="34" s="1"/>
  <c r="Z90" i="34" s="1"/>
  <c r="AA91" i="34" s="1"/>
  <c r="AB92" i="34" s="1"/>
  <c r="AC92" i="34" s="1"/>
  <c r="AD92" i="34" s="1"/>
  <c r="AE92" i="34" s="1"/>
  <c r="AF92" i="34" s="1"/>
  <c r="AG92" i="34" s="1"/>
  <c r="AH92" i="34" s="1"/>
  <c r="AI92" i="34" s="1"/>
  <c r="AJ92" i="34" s="1"/>
  <c r="AK92" i="34" s="1"/>
  <c r="AL92" i="34" s="1"/>
  <c r="AM92" i="34" s="1"/>
  <c r="AN92" i="34" s="1"/>
  <c r="AO92" i="34" s="1"/>
  <c r="AP92" i="34" s="1"/>
  <c r="AQ92" i="34" s="1"/>
  <c r="AR92" i="34" s="1"/>
  <c r="AS92" i="34" s="1"/>
  <c r="AT92" i="34" s="1"/>
  <c r="AU92" i="34" s="1"/>
  <c r="AV92" i="34" s="1"/>
  <c r="AW92" i="34" s="1"/>
  <c r="AX92" i="34" s="1"/>
  <c r="AY92"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tc={53EF282C-F744-41A5-9712-FC7132117186}</author>
    <author>tc={1754EC6E-6482-4B3C-B72B-949D436630EF}</author>
  </authors>
  <commentList>
    <comment ref="A67" authorId="0" shapeId="0" xr:uid="{53EF282C-F744-41A5-9712-FC7132117186}">
      <text>
        <t>[Trådet kommentar]
Din version af Excel lader dig læse denne trådede kommentar. Eventuelle ændringer vil dog blive fjernet, hvis filen åbnes i en nyere version af Excel. Få mere at vide: https://go.microsoft.com/fwlink/?linkid=870924
Kommentar:
    Grundlaget bliver beregnet anderledes end for de andre</t>
      </text>
    </comment>
    <comment ref="A72" authorId="1" shapeId="0" xr:uid="{1754EC6E-6482-4B3C-B72B-949D436630EF}">
      <text>
        <t>[Trådet kommentar]
Din version af Excel lader dig læse denne trådede kommentar. Eventuelle ændringer vil dog blive fjernet, hvis filen åbnes i en nyere version af Excel. Få mere at vide: https://go.microsoft.com/fwlink/?linkid=870924
Kommentar:
    Grundlaget bliver beregnet anderledes sammenlignet med de andre</t>
      </text>
    </comment>
  </commentList>
</comments>
</file>

<file path=xl/sharedStrings.xml><?xml version="1.0" encoding="utf-8"?>
<sst xmlns="http://schemas.openxmlformats.org/spreadsheetml/2006/main" count="527" uniqueCount="164">
  <si>
    <t>Forudsætninger:</t>
  </si>
  <si>
    <t>År</t>
  </si>
  <si>
    <t>Carry</t>
  </si>
  <si>
    <t>Fordeling af investeringer</t>
  </si>
  <si>
    <t>Udvikling i investeringer:</t>
  </si>
  <si>
    <t>Akk. investeringer ultimo</t>
  </si>
  <si>
    <t>Akk. salg ultimo</t>
  </si>
  <si>
    <t>Investeret kapital ultimo</t>
  </si>
  <si>
    <t>Beregning af fee:</t>
  </si>
  <si>
    <t>Management fee</t>
  </si>
  <si>
    <t>% af tilsagn</t>
  </si>
  <si>
    <t>% investeret kapital</t>
  </si>
  <si>
    <t>Variable fee</t>
  </si>
  <si>
    <t>Hurdle Rate</t>
  </si>
  <si>
    <t>Catch-up ratio (fra AM's side)</t>
  </si>
  <si>
    <t>Periode</t>
  </si>
  <si>
    <t>Investering</t>
  </si>
  <si>
    <t xml:space="preserve">Investeringinger ift. tilsagn </t>
  </si>
  <si>
    <t>Investeringinger tilsagn</t>
  </si>
  <si>
    <t xml:space="preserve">År </t>
  </si>
  <si>
    <t>Median Net IRR</t>
  </si>
  <si>
    <t>Q1 Net IRR</t>
  </si>
  <si>
    <t>Net IRR (after fees and carried interest are payied)</t>
  </si>
  <si>
    <t>Fund of funds</t>
  </si>
  <si>
    <t>Underliggende fonde</t>
  </si>
  <si>
    <t>Primo</t>
  </si>
  <si>
    <t>Ultimo</t>
  </si>
  <si>
    <t>Afgivne tilsagn</t>
  </si>
  <si>
    <t>Akk. tilsagn</t>
  </si>
  <si>
    <t>Additional fee</t>
  </si>
  <si>
    <t>Q4 Net IRR</t>
  </si>
  <si>
    <t>Årets Investeringer (ultimo)</t>
  </si>
  <si>
    <t>Årets salg (ultimo)</t>
  </si>
  <si>
    <t>Grundlag (primo)</t>
  </si>
  <si>
    <t>Investeret kapital primo</t>
  </si>
  <si>
    <t>Performance Fee (Investeret kapital) i % i holdning periode</t>
  </si>
  <si>
    <t>Q4</t>
  </si>
  <si>
    <t>Q1</t>
  </si>
  <si>
    <t>Median</t>
  </si>
  <si>
    <t>Vægetet gennemsnit (per år i perioden)</t>
  </si>
  <si>
    <t>Vægtet gennmsnit (akk. Af hele perioden)</t>
  </si>
  <si>
    <t>Årligt afkast</t>
  </si>
  <si>
    <t>Årets Investeringer ultimo</t>
  </si>
  <si>
    <t>Subcategory:</t>
  </si>
  <si>
    <t>Core Real Estate</t>
  </si>
  <si>
    <t>Core (unleveraged) infrastructure</t>
  </si>
  <si>
    <t>Core (leveraged) infrastructure</t>
  </si>
  <si>
    <t>Other infrastructure</t>
  </si>
  <si>
    <t>ILS</t>
  </si>
  <si>
    <t xml:space="preserve">Catch-up ratio (upper interval) </t>
  </si>
  <si>
    <t>Fast fee I alt</t>
  </si>
  <si>
    <t>Performance fee</t>
  </si>
  <si>
    <t>Asset Class:</t>
  </si>
  <si>
    <t>Inputs-faktorer</t>
  </si>
  <si>
    <t>Output</t>
  </si>
  <si>
    <t>År for ønsket Fee</t>
  </si>
  <si>
    <t>Investeringsperiode (år)</t>
  </si>
  <si>
    <t>Holdingperiode (år)</t>
  </si>
  <si>
    <t>Tilsagn</t>
  </si>
  <si>
    <t>Waterfall-model</t>
  </si>
  <si>
    <t>Predominantly European</t>
  </si>
  <si>
    <t/>
  </si>
  <si>
    <t>Tilsagnsperiode</t>
  </si>
  <si>
    <t>Additional fee i alt</t>
  </si>
  <si>
    <t>Fee i alt ift. til tilsagn</t>
  </si>
  <si>
    <t>Hjælpe funktion</t>
  </si>
  <si>
    <t>Årligt afkast Net IRR</t>
  </si>
  <si>
    <t>Investering i kapital</t>
  </si>
  <si>
    <t>Investeringer ift. tilsagn</t>
  </si>
  <si>
    <t>Årets Investeringer i kroner og ører (ultimo)</t>
  </si>
  <si>
    <t>Akk. investeringer (ultimo)</t>
  </si>
  <si>
    <t>Akk. investeringer i kroner og ører (ultimo)</t>
  </si>
  <si>
    <t>Årets salg i kroner og ører (ultimo)</t>
  </si>
  <si>
    <t>Akk. Salg i kroner og ører (ultimo)</t>
  </si>
  <si>
    <t>Investeret kapital i kroner og ører primo</t>
  </si>
  <si>
    <t>Investeret kapital i kroner og ører ultimo</t>
  </si>
  <si>
    <t>Cash Flows / Gross IRR</t>
  </si>
  <si>
    <t>Værdiskabelse</t>
  </si>
  <si>
    <t>Grundlag i kroner</t>
  </si>
  <si>
    <t>Management fee kroner og ører</t>
  </si>
  <si>
    <t>Additional fee i kroner og ører</t>
  </si>
  <si>
    <t>Fast fee I alt kroner og ører</t>
  </si>
  <si>
    <t>Performance fee i kroner og ører</t>
  </si>
  <si>
    <t>Fordeling af performance fee</t>
  </si>
  <si>
    <t>Fee i alt ift. til værdi i kroner og ører</t>
  </si>
  <si>
    <t>Net IRR</t>
  </si>
  <si>
    <t>Brutto IRR</t>
  </si>
  <si>
    <t>Performance fee for 1 % management fee</t>
  </si>
  <si>
    <t>Fordeling af afkast forslag</t>
  </si>
  <si>
    <t>Fee-sats i fonde</t>
  </si>
  <si>
    <t>Performance fee for 0.5 % management fee</t>
  </si>
  <si>
    <t>Vægtet gennemsnit (per år i perioden)</t>
  </si>
  <si>
    <t>Vægtet gennemsnit (akk. Af hele perioden)</t>
  </si>
  <si>
    <t>Performance fee for 0.75 % management fee</t>
  </si>
  <si>
    <t>Performance fee for 1.75 % management fee</t>
  </si>
  <si>
    <t>Performance fee for 0.25 % management fee</t>
  </si>
  <si>
    <t>Performance fee for 1.25 % management fee</t>
  </si>
  <si>
    <t>Performance fee for 1.5 % management fee</t>
  </si>
  <si>
    <t>Fee-sats i FoF</t>
  </si>
  <si>
    <t>Fee-sats underliggende fonde</t>
  </si>
  <si>
    <t>Holding periode 7</t>
  </si>
  <si>
    <t>Catch - up ratio 50%</t>
  </si>
  <si>
    <t>Omkostningsprocent</t>
  </si>
  <si>
    <t xml:space="preserve">Buy-out, leveraged buy-out, growth capital m.fl. </t>
  </si>
  <si>
    <t xml:space="preserve">Bred kategori, der dækker al PE ekskl. venture.  </t>
  </si>
  <si>
    <t xml:space="preserve">Fonde med meget opportunistiske / risikofyldte strategier kan  også placeres i denne kategori. </t>
  </si>
  <si>
    <t xml:space="preserve">Venture. </t>
  </si>
  <si>
    <t xml:space="preserve">Bred kategori, der dækker al PE ekskl. venture. </t>
  </si>
  <si>
    <t>Alle illikvide kreditfonde hvor der ikke er performance fee, herunder:</t>
  </si>
  <si>
    <r>
      <t>·</t>
    </r>
    <r>
      <rPr>
        <sz val="7"/>
        <color theme="1"/>
        <rFont val="Times New Roman"/>
        <family val="1"/>
      </rPr>
      <t xml:space="preserve">   </t>
    </r>
    <r>
      <rPr>
        <sz val="9"/>
        <color theme="1"/>
        <rFont val="Arial"/>
        <family val="2"/>
      </rPr>
      <t>Senior lån med sikkerhed i reelle aktiver, eksempelvis ejendomme, infrastruktur mv.</t>
    </r>
  </si>
  <si>
    <r>
      <t>·</t>
    </r>
    <r>
      <rPr>
        <sz val="7"/>
        <color theme="1"/>
        <rFont val="Times New Roman"/>
        <family val="1"/>
      </rPr>
      <t xml:space="preserve">   </t>
    </r>
    <r>
      <rPr>
        <sz val="9"/>
        <color theme="1"/>
        <rFont val="Arial"/>
        <family val="2"/>
      </rPr>
      <t>Semi-handlebare aktiver, eksempelvis leveraged loans mv.</t>
    </r>
  </si>
  <si>
    <t>Lån til virksomheder</t>
  </si>
  <si>
    <t>Herunder distressed debt samt junior lån</t>
  </si>
  <si>
    <t>Investeringer i core aktiver så som eksisterende boligejendomme, hvor afkastet er et driftsafkast.</t>
  </si>
  <si>
    <t>Investeringer i ejendomme, hvor der udføres forskellige former for forbedringer og tilpasninger med henblik på at tilpasse ejendommen.</t>
  </si>
  <si>
    <t>Investeringer i mere opportunistiske ejendomsprojekter/strategier</t>
  </si>
  <si>
    <t>Investeringer i core aktiver (etablerede plantager) i core destinationer (Europa, Nordamerika, Oceania).</t>
  </si>
  <si>
    <t>Investeringer i nye plantager eller nye sorter, enten i core markeder eller emerging markets. Investeringer i etablerede plantager i emerging markets.</t>
  </si>
  <si>
    <t xml:space="preserve">Alternative Risk Premia (ARP), CTA og andre systematiske strategier </t>
  </si>
  <si>
    <t>Klassiske hedge fond strategier:</t>
  </si>
  <si>
    <t>Equity L/S, Market neutral long/short, Fixed Income Arbitrage, Statistical Arbitrage etc.</t>
  </si>
  <si>
    <t>Fund of hedge funds</t>
  </si>
  <si>
    <t>Enten separate co-investeringer på egen bog eller placeret i co-investeringsstruktur uden management fee og carry</t>
  </si>
  <si>
    <t>Co-investeringer hvor sourcing er outsourcet til ekstern Manager, hvor manager typisk betales management fee og carry</t>
  </si>
  <si>
    <t>Fee-satser ift. tilsagn</t>
  </si>
  <si>
    <t>Fee-satser ift. NAV</t>
  </si>
  <si>
    <t>1.a Private Equity Buy-out mv. - closed-ended</t>
  </si>
  <si>
    <t>1.b Private Equity Buy-out mv. - open-ended</t>
  </si>
  <si>
    <t>1.c Private Equity Venture - closed-ended</t>
  </si>
  <si>
    <t>2.a Private Equity Funds-of-funds - closed-ended</t>
  </si>
  <si>
    <t>3.a Kreditfonde (iIllikvid kredit) - fonde uden carry - closed-ended</t>
  </si>
  <si>
    <t>3.b Kreditfonde (illikvid kredit) - fonde uden carry - open-ended</t>
  </si>
  <si>
    <t>3.c Kreditfonde (illikvid kredit) - Private Credit Corporate Lending samt junior lån med sikkerhed i reale aktiver (med carry) - closed-ended</t>
  </si>
  <si>
    <t>3.d Kreditfonde (illikvid kredit) - opportunistisk og Junior kapital - closed ended</t>
  </si>
  <si>
    <t>4.a Ejendomsfonde - Core - closed-ended</t>
  </si>
  <si>
    <t>4.b Ejendomsfonde - Core - open-ended</t>
  </si>
  <si>
    <t>4.c Ejendomsfonde - value-add - closed-ended</t>
  </si>
  <si>
    <t>4.d Ejendomsfonde - opportunistic - closed-ended</t>
  </si>
  <si>
    <t>5.a Infrastrukturfonde - core - closed-ended</t>
  </si>
  <si>
    <t>5.b Infrastrukturfonde - core - open-ended</t>
  </si>
  <si>
    <t>5.c Anden infrastruktur - closed-ended</t>
  </si>
  <si>
    <t>6.a Skovfonde - core - closed-ended</t>
  </si>
  <si>
    <t>6.b Skovfonde - core - open-ended</t>
  </si>
  <si>
    <t>6.c Skovfonde - value-add - closed-ended</t>
  </si>
  <si>
    <t xml:space="preserve">7.a Livkvide alternativer/hedgefonde - uden carry </t>
  </si>
  <si>
    <t xml:space="preserve">7.b Livkvide alternativer/hedgefonde - med carry </t>
  </si>
  <si>
    <t>8.b Co-investeringer i fondsstruktur</t>
  </si>
  <si>
    <t xml:space="preserve">Core aktiver (typisk benævnt regulated &amp; contracted assets), men også til en vis grad GDP følsomme aktiver som er i drift. </t>
  </si>
  <si>
    <t>Core lever ofte i høj grad op til qualifying infrastructure regulering.</t>
  </si>
  <si>
    <t>Investeringer i alle andre typer af infrastrukturaktiver, hvor der kan være perioder med konstruktionsrisiko eller anden værdiskabelse</t>
  </si>
  <si>
    <t xml:space="preserve"> i forhold til de underliggende aktiver (typisk en markant højere andel GDP følsomme aktiver).</t>
  </si>
  <si>
    <t>Fee-satser ift. investeret kapital</t>
  </si>
  <si>
    <t>Faktor (f)*</t>
  </si>
  <si>
    <t>Der skal anvendes den samme faktor uanset fee-niveau.</t>
  </si>
  <si>
    <t>* Faktoren (f) benyttes ved beregning af andlen af de samlede omkostninger baseret på standardberegnede satser, jf. henstillingens pkt. 10.4.</t>
  </si>
  <si>
    <t xml:space="preserve">For hvert år, som fonden er ældre end det sidste år i tabellen, ganges 0,8 på satsen for det sidste år i tabellen. </t>
  </si>
  <si>
    <t>Eksempel: I år 15 er satsen 0,10% ved management fee 1,50%. Satsen for fx år 17 findes på flg. måde: 0,10*0,8*0,8=0,064%.</t>
  </si>
  <si>
    <t>Fonde, som er ældre end det sidste år i tabellen:</t>
  </si>
  <si>
    <t>Fonde, som er yngre end 1 år:</t>
  </si>
  <si>
    <t>Selskabet har lov til at reducere satsen for år 1 forholdsmæssigt ud fra antal måneder. Hvis man fx først er gået ind i fonden i december, kan satsen reduceres til 1/12.</t>
  </si>
  <si>
    <t>Se eksempel i faneblad "1.a PE buy-out Closed-Ended".</t>
  </si>
  <si>
    <t xml:space="preserve"> forudsat at der benyttes samme frekvens for hele perioden. Hvis gennemsnittet eksempelvis baseres på månedelig NAV, skal alle måneder indgå i gennemsnittet.</t>
  </si>
  <si>
    <t>Der skal anvendes et gennemsnit af NAV for investeringen. Dette gennemsnit skal som minimum baseres på gennemsnittet af primo og ultimo NAV, men kan også baseres på mere frekvente opgørelser af NAV,</t>
  </si>
  <si>
    <t>8.a Co-investeringer uden fee og carry, hvor betingelserne for anvendelse af faktiske omkostninger ikke er opfyldt, jf.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</si>
</sst>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kr.&quot;;[Red]\-#,##0.00\ &quot;kr.&quot;"/>
    <numFmt numFmtId="43" formatCode="_-* #,##0.00_-;\-* #,##0.00_-;_-* &quot;-&quot;??_-;_-@_-"/>
    <numFmt numFmtId="164" formatCode="_(* #,##0_);_(* \(#,##0\);_(* &quot;-&quot;??_);_(@_)"/>
    <numFmt numFmtId="165" formatCode="0.0%"/>
    <numFmt numFmtId="166" formatCode="0.000000"/>
    <numFmt numFmtId="167" formatCode="0.000"/>
    <numFmt numFmtId="168" formatCode="0.000%"/>
    <numFmt numFmtId="169" formatCode="0.0"/>
    <numFmt numFmtId="170" formatCode="0.00000%"/>
    <numFmt numFmtId="171" formatCode="0.000000%"/>
    <numFmt numFmtId="172" formatCode="0.0000000%"/>
  </numFmts>
  <fonts count="24">
    <font>
      <sz val="11"/>
      <color theme="1"/>
      <name val="HelveticaNeueLT Std Cn"/>
      <family val="2"/>
    </font>
    <font>
      <sz val="11"/>
      <color theme="1"/>
      <name val="HelveticaNeueLT Std Cn"/>
      <family val="2"/>
    </font>
    <font>
      <b/>
      <sz val="11"/>
      <color theme="1"/>
      <name val="HelveticaNeueLT Std Cn"/>
      <family val="2"/>
    </font>
    <font>
      <b/>
      <u/>
      <sz val="10"/>
      <name val="Arial"/>
      <family val="2"/>
    </font>
    <font>
      <sz val="10"/>
      <name val="Arial"/>
      <family val="2"/>
    </font>
    <font>
      <b/>
      <sz val="10"/>
      <name val="Arial"/>
      <family val="2"/>
    </font>
    <font>
      <sz val="11"/>
      <color theme="0"/>
      <name val="HelveticaNeueLT Std Cn"/>
      <family val="2"/>
    </font>
    <font>
      <sz val="11"/>
      <name val="HelveticaNeueLT Std Cn"/>
      <family val="2"/>
    </font>
    <font>
      <i/>
      <u/>
      <sz val="10"/>
      <name val="Arial"/>
      <family val="2"/>
    </font>
    <font>
      <b/>
      <sz val="10"/>
      <color theme="1"/>
      <name val="Arial"/>
      <family val="2"/>
    </font>
    <font>
      <sz val="10"/>
      <color theme="1"/>
      <name val="Arial"/>
      <family val="2"/>
    </font>
    <font>
      <i/>
      <sz val="10"/>
      <name val="Arial"/>
      <family val="2"/>
    </font>
    <font>
      <b/>
      <sz val="14"/>
      <color theme="1"/>
      <name val="HelveticaNeueLT Std Cn"/>
      <family val="2"/>
    </font>
    <font>
      <b/>
      <sz val="16"/>
      <color theme="1"/>
      <name val="HelveticaNeueLT Std Cn"/>
      <family val="2"/>
    </font>
    <font>
      <b/>
      <sz val="16"/>
      <color theme="1"/>
      <name val="Arial"/>
      <family val="2"/>
    </font>
    <font>
      <b/>
      <sz val="11"/>
      <color theme="0"/>
      <name val="HelveticaNeueLT Std Cn"/>
      <family val="2"/>
    </font>
    <font>
      <b/>
      <sz val="16"/>
      <color theme="0"/>
      <name val="Arial"/>
      <family val="2"/>
    </font>
    <font>
      <b/>
      <sz val="16"/>
      <color theme="0"/>
      <name val="HelveticaNeueLT Std Cn"/>
      <family val="2"/>
    </font>
    <font>
      <b/>
      <sz val="11"/>
      <color theme="1"/>
      <name val="HelveticaNeueLT Std Cn"/>
    </font>
    <font>
      <sz val="9"/>
      <color theme="1"/>
      <name val="Arial"/>
      <family val="2"/>
    </font>
    <font>
      <sz val="7"/>
      <color theme="1"/>
      <name val="Times New Roman"/>
      <family val="1"/>
    </font>
    <font>
      <u/>
      <sz val="11"/>
      <color theme="1"/>
      <name val="HelveticaNeueLT Std Cn"/>
      <family val="2"/>
    </font>
    <font>
      <sz val="11"/>
      <color theme="1"/>
      <name val="HelveticaNeueLT Std Cn"/>
    </font>
    <font>
      <u/>
      <sz val="11"/>
      <color theme="1"/>
      <name val="HelveticaNeueLT Std Cn"/>
    </font>
  </fonts>
  <fills count="9">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64">
    <xf numFmtId="0" fontId="0" fillId="0" borderId="0" xfId="0"/>
    <xf numFmtId="0" fontId="3" fillId="0" borderId="0" xfId="0" applyFont="1"/>
    <xf numFmtId="10" fontId="0" fillId="0" borderId="0" xfId="0" applyNumberFormat="1"/>
    <xf numFmtId="0" fontId="0" fillId="0" borderId="0" xfId="0" applyAlignment="1">
      <alignment wrapText="1"/>
    </xf>
    <xf numFmtId="9" fontId="1" fillId="0" borderId="0" xfId="2"/>
    <xf numFmtId="10" fontId="1" fillId="0" borderId="0" xfId="2" applyNumberFormat="1" applyFill="1"/>
    <xf numFmtId="9" fontId="1" fillId="0" borderId="0" xfId="2" applyFill="1" applyAlignment="1">
      <alignment horizontal="center"/>
    </xf>
    <xf numFmtId="0" fontId="0" fillId="0" borderId="0" xfId="0" applyAlignment="1">
      <alignment horizontal="center"/>
    </xf>
    <xf numFmtId="165" fontId="1" fillId="0" borderId="0" xfId="2" applyNumberFormat="1"/>
    <xf numFmtId="0" fontId="6" fillId="0" borderId="0" xfId="0" applyFont="1"/>
    <xf numFmtId="49" fontId="0" fillId="0" borderId="0" xfId="0" applyNumberFormat="1"/>
    <xf numFmtId="0" fontId="8" fillId="0" borderId="0" xfId="0" applyFont="1"/>
    <xf numFmtId="2" fontId="1" fillId="0" borderId="0" xfId="2" applyNumberFormat="1" applyBorder="1"/>
    <xf numFmtId="0" fontId="0" fillId="0" borderId="1"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wrapText="1"/>
    </xf>
    <xf numFmtId="9" fontId="1" fillId="0" borderId="0" xfId="2" applyFill="1"/>
    <xf numFmtId="10" fontId="1" fillId="0" borderId="0" xfId="2" applyNumberFormat="1" applyFill="1" applyBorder="1"/>
    <xf numFmtId="0" fontId="6" fillId="0" borderId="0" xfId="0" applyFont="1" applyAlignment="1">
      <alignment wrapText="1"/>
    </xf>
    <xf numFmtId="0" fontId="0" fillId="4" borderId="0" xfId="0" applyFill="1"/>
    <xf numFmtId="166" fontId="0" fillId="0" borderId="0" xfId="0" applyNumberFormat="1"/>
    <xf numFmtId="165" fontId="1" fillId="0" borderId="17" xfId="2" applyNumberFormat="1" applyBorder="1"/>
    <xf numFmtId="165" fontId="1" fillId="0" borderId="0" xfId="2" applyNumberFormat="1" applyBorder="1"/>
    <xf numFmtId="165" fontId="1" fillId="0" borderId="0" xfId="2" applyNumberFormat="1" applyFill="1" applyBorder="1"/>
    <xf numFmtId="2" fontId="1" fillId="0" borderId="0" xfId="2" applyNumberFormat="1" applyFill="1" applyBorder="1"/>
    <xf numFmtId="49" fontId="7" fillId="0" borderId="0" xfId="2" applyNumberFormat="1" applyFont="1" applyFill="1" applyBorder="1" applyAlignment="1">
      <alignment horizontal="left"/>
    </xf>
    <xf numFmtId="165" fontId="1" fillId="0" borderId="0" xfId="2" applyNumberFormat="1" applyAlignment="1"/>
    <xf numFmtId="0" fontId="7" fillId="0" borderId="0" xfId="0" applyFont="1"/>
    <xf numFmtId="0" fontId="2" fillId="0" borderId="0" xfId="0" applyFont="1"/>
    <xf numFmtId="164" fontId="1" fillId="0" borderId="0" xfId="1" applyNumberFormat="1" applyBorder="1"/>
    <xf numFmtId="10" fontId="0" fillId="0" borderId="0" xfId="2" applyNumberFormat="1" applyFont="1"/>
    <xf numFmtId="10" fontId="1" fillId="0" borderId="0" xfId="2" quotePrefix="1" applyNumberFormat="1" applyFill="1"/>
    <xf numFmtId="0" fontId="0" fillId="0" borderId="6" xfId="0" applyBorder="1"/>
    <xf numFmtId="0" fontId="0" fillId="0" borderId="6" xfId="0" applyBorder="1" applyAlignment="1">
      <alignment wrapText="1"/>
    </xf>
    <xf numFmtId="9" fontId="1" fillId="5" borderId="9" xfId="2" applyFill="1" applyBorder="1" applyAlignment="1">
      <alignment horizontal="center"/>
    </xf>
    <xf numFmtId="0" fontId="0" fillId="0" borderId="9" xfId="0" applyBorder="1"/>
    <xf numFmtId="0" fontId="12" fillId="0" borderId="15" xfId="0" applyFont="1" applyBorder="1"/>
    <xf numFmtId="165" fontId="1" fillId="0" borderId="16" xfId="2" applyNumberFormat="1" applyBorder="1" applyAlignment="1">
      <alignment horizontal="center"/>
    </xf>
    <xf numFmtId="165" fontId="1" fillId="0" borderId="16" xfId="2" applyNumberFormat="1" applyBorder="1"/>
    <xf numFmtId="0" fontId="2" fillId="0" borderId="28" xfId="0" applyFont="1" applyBorder="1"/>
    <xf numFmtId="0" fontId="2" fillId="4" borderId="15" xfId="0" applyFont="1" applyFill="1" applyBorder="1"/>
    <xf numFmtId="10" fontId="0" fillId="4" borderId="17" xfId="0" applyNumberFormat="1" applyFill="1" applyBorder="1"/>
    <xf numFmtId="0" fontId="0" fillId="4" borderId="6" xfId="0" applyFill="1" applyBorder="1"/>
    <xf numFmtId="0" fontId="0" fillId="4" borderId="8" xfId="0" applyFill="1" applyBorder="1"/>
    <xf numFmtId="0" fontId="0" fillId="4" borderId="17" xfId="0" applyFill="1" applyBorder="1"/>
    <xf numFmtId="10" fontId="1" fillId="4" borderId="7" xfId="2" applyNumberFormat="1" applyFill="1" applyBorder="1"/>
    <xf numFmtId="10" fontId="1" fillId="4" borderId="10" xfId="2" applyNumberFormat="1" applyFill="1" applyBorder="1"/>
    <xf numFmtId="10" fontId="1" fillId="5" borderId="7" xfId="2" applyNumberFormat="1" applyFill="1" applyBorder="1"/>
    <xf numFmtId="10" fontId="1" fillId="5" borderId="10" xfId="2" applyNumberFormat="1" applyFill="1" applyBorder="1"/>
    <xf numFmtId="164" fontId="1" fillId="4" borderId="16" xfId="1" applyNumberFormat="1" applyFill="1" applyBorder="1"/>
    <xf numFmtId="0" fontId="0" fillId="4" borderId="17" xfId="0" applyFill="1" applyBorder="1" applyAlignment="1">
      <alignment wrapText="1"/>
    </xf>
    <xf numFmtId="165" fontId="1" fillId="4" borderId="0" xfId="2" applyNumberFormat="1" applyFill="1" applyBorder="1"/>
    <xf numFmtId="165" fontId="1" fillId="4" borderId="9" xfId="2" applyNumberFormat="1" applyFill="1" applyBorder="1"/>
    <xf numFmtId="0" fontId="2" fillId="4" borderId="30" xfId="0" applyFont="1" applyFill="1" applyBorder="1" applyAlignment="1">
      <alignment wrapText="1"/>
    </xf>
    <xf numFmtId="0" fontId="0" fillId="4" borderId="1" xfId="0" applyFill="1" applyBorder="1" applyAlignment="1">
      <alignment wrapText="1"/>
    </xf>
    <xf numFmtId="2" fontId="7" fillId="4" borderId="6" xfId="2" applyNumberFormat="1" applyFont="1" applyFill="1" applyBorder="1"/>
    <xf numFmtId="0" fontId="1" fillId="4" borderId="0" xfId="2" applyNumberFormat="1" applyFill="1" applyBorder="1" applyAlignment="1">
      <alignment horizontal="center"/>
    </xf>
    <xf numFmtId="0" fontId="1" fillId="4" borderId="7" xfId="2" applyNumberFormat="1" applyFill="1" applyBorder="1" applyAlignment="1">
      <alignment horizontal="center"/>
    </xf>
    <xf numFmtId="0" fontId="7" fillId="4" borderId="6" xfId="0" applyFont="1" applyFill="1" applyBorder="1"/>
    <xf numFmtId="165" fontId="4" fillId="4" borderId="0" xfId="2" applyNumberFormat="1" applyFont="1" applyFill="1" applyBorder="1"/>
    <xf numFmtId="165" fontId="4" fillId="4" borderId="7" xfId="2" applyNumberFormat="1" applyFont="1" applyFill="1" applyBorder="1"/>
    <xf numFmtId="165" fontId="1" fillId="4" borderId="7" xfId="2" applyNumberFormat="1" applyFill="1" applyBorder="1"/>
    <xf numFmtId="165" fontId="7" fillId="4" borderId="6" xfId="2" applyNumberFormat="1" applyFont="1" applyFill="1" applyBorder="1"/>
    <xf numFmtId="0" fontId="7" fillId="4" borderId="8" xfId="0" applyFont="1" applyFill="1" applyBorder="1"/>
    <xf numFmtId="165" fontId="1" fillId="4" borderId="10" xfId="2" applyNumberFormat="1" applyFill="1" applyBorder="1"/>
    <xf numFmtId="0" fontId="2" fillId="4" borderId="0" xfId="2" applyNumberFormat="1" applyFont="1" applyFill="1" applyBorder="1" applyAlignment="1">
      <alignment horizontal="center"/>
    </xf>
    <xf numFmtId="164" fontId="1" fillId="4" borderId="17" xfId="1" applyNumberFormat="1" applyFill="1" applyBorder="1"/>
    <xf numFmtId="0" fontId="0" fillId="4" borderId="7" xfId="0" applyFill="1" applyBorder="1"/>
    <xf numFmtId="0" fontId="0" fillId="4" borderId="9" xfId="0" applyFill="1" applyBorder="1"/>
    <xf numFmtId="10" fontId="1" fillId="4" borderId="16" xfId="2" quotePrefix="1" applyNumberFormat="1" applyFill="1" applyBorder="1"/>
    <xf numFmtId="10" fontId="1" fillId="4" borderId="17" xfId="2" quotePrefix="1" applyNumberFormat="1" applyFill="1" applyBorder="1"/>
    <xf numFmtId="0" fontId="0" fillId="4" borderId="0" xfId="0" applyFill="1" applyAlignment="1">
      <alignment horizontal="center"/>
    </xf>
    <xf numFmtId="0" fontId="0" fillId="4" borderId="7" xfId="0" applyFill="1" applyBorder="1" applyAlignment="1">
      <alignment horizontal="center"/>
    </xf>
    <xf numFmtId="10" fontId="1" fillId="4" borderId="0" xfId="2" applyNumberFormat="1" applyFill="1" applyBorder="1"/>
    <xf numFmtId="0" fontId="10" fillId="4" borderId="6" xfId="0" applyFont="1" applyFill="1" applyBorder="1"/>
    <xf numFmtId="0" fontId="10" fillId="4" borderId="8" xfId="0" applyFont="1" applyFill="1" applyBorder="1"/>
    <xf numFmtId="10" fontId="1" fillId="4" borderId="9" xfId="2" applyNumberFormat="1" applyFill="1" applyBorder="1"/>
    <xf numFmtId="10" fontId="2" fillId="4" borderId="15" xfId="2" quotePrefix="1" applyNumberFormat="1" applyFont="1" applyFill="1" applyBorder="1"/>
    <xf numFmtId="0" fontId="13" fillId="0" borderId="0" xfId="0" applyFont="1"/>
    <xf numFmtId="0" fontId="0" fillId="4" borderId="18" xfId="0" applyFill="1" applyBorder="1"/>
    <xf numFmtId="0" fontId="0" fillId="4" borderId="13" xfId="0" applyFill="1" applyBorder="1"/>
    <xf numFmtId="0" fontId="0" fillId="4" borderId="2" xfId="0" applyFill="1" applyBorder="1"/>
    <xf numFmtId="10" fontId="0" fillId="4" borderId="7" xfId="0" applyNumberFormat="1" applyFill="1" applyBorder="1" applyAlignment="1">
      <alignment horizontal="center"/>
    </xf>
    <xf numFmtId="0" fontId="2" fillId="4" borderId="0" xfId="0" applyFont="1" applyFill="1"/>
    <xf numFmtId="0" fontId="2" fillId="4" borderId="6" xfId="0" applyFont="1" applyFill="1" applyBorder="1"/>
    <xf numFmtId="165" fontId="1" fillId="4" borderId="2" xfId="2" applyNumberFormat="1" applyFill="1" applyBorder="1"/>
    <xf numFmtId="0" fontId="0" fillId="4" borderId="10" xfId="0" applyFill="1" applyBorder="1" applyAlignment="1">
      <alignment horizontal="center"/>
    </xf>
    <xf numFmtId="0" fontId="2" fillId="4" borderId="8" xfId="0" applyFont="1" applyFill="1" applyBorder="1"/>
    <xf numFmtId="0" fontId="2" fillId="3" borderId="27" xfId="0" applyFont="1" applyFill="1" applyBorder="1" applyAlignment="1">
      <alignment horizontal="center"/>
    </xf>
    <xf numFmtId="0" fontId="14" fillId="6" borderId="28" xfId="0" applyFont="1" applyFill="1" applyBorder="1"/>
    <xf numFmtId="10" fontId="13" fillId="6" borderId="29" xfId="2" applyNumberFormat="1" applyFont="1" applyFill="1" applyBorder="1"/>
    <xf numFmtId="10" fontId="1" fillId="5" borderId="29" xfId="2" applyNumberFormat="1" applyFill="1" applyBorder="1"/>
    <xf numFmtId="10" fontId="1" fillId="0" borderId="0" xfId="2" quotePrefix="1" applyNumberFormat="1" applyFill="1" applyBorder="1"/>
    <xf numFmtId="0" fontId="15" fillId="0" borderId="0" xfId="0" applyFont="1"/>
    <xf numFmtId="165" fontId="6" fillId="0" borderId="0" xfId="2" applyNumberFormat="1" applyFont="1" applyFill="1" applyBorder="1"/>
    <xf numFmtId="169" fontId="1" fillId="5" borderId="7" xfId="2" applyNumberFormat="1" applyFill="1" applyBorder="1"/>
    <xf numFmtId="169" fontId="1" fillId="5" borderId="10" xfId="2" applyNumberFormat="1" applyFill="1" applyBorder="1"/>
    <xf numFmtId="165" fontId="0" fillId="5" borderId="10" xfId="2" applyNumberFormat="1" applyFont="1" applyFill="1" applyBorder="1" applyAlignment="1">
      <alignment horizontal="right" wrapText="1"/>
    </xf>
    <xf numFmtId="168" fontId="1" fillId="0" borderId="0" xfId="2" applyNumberFormat="1" applyFill="1" applyBorder="1"/>
    <xf numFmtId="0" fontId="0" fillId="0" borderId="8" xfId="0" applyBorder="1"/>
    <xf numFmtId="0" fontId="11" fillId="4" borderId="6" xfId="0" applyFont="1" applyFill="1" applyBorder="1"/>
    <xf numFmtId="0" fontId="0" fillId="4" borderId="16" xfId="0" applyFill="1" applyBorder="1"/>
    <xf numFmtId="0" fontId="5" fillId="4" borderId="16" xfId="0" applyFont="1" applyFill="1" applyBorder="1"/>
    <xf numFmtId="49" fontId="0" fillId="4" borderId="16" xfId="0" applyNumberFormat="1" applyFill="1" applyBorder="1"/>
    <xf numFmtId="0" fontId="3" fillId="4" borderId="15" xfId="0" applyFont="1" applyFill="1" applyBorder="1"/>
    <xf numFmtId="0" fontId="0" fillId="5" borderId="10" xfId="0" applyFill="1" applyBorder="1"/>
    <xf numFmtId="0" fontId="0" fillId="5" borderId="9" xfId="0" applyFill="1" applyBorder="1"/>
    <xf numFmtId="0" fontId="2" fillId="0" borderId="16" xfId="0" applyFont="1" applyBorder="1" applyAlignment="1">
      <alignment horizontal="center"/>
    </xf>
    <xf numFmtId="0" fontId="2" fillId="0" borderId="15" xfId="0" applyFont="1" applyBorder="1"/>
    <xf numFmtId="2" fontId="0" fillId="0" borderId="0" xfId="0" applyNumberFormat="1" applyAlignment="1">
      <alignment horizontal="right" wrapText="1"/>
    </xf>
    <xf numFmtId="164" fontId="1" fillId="4" borderId="17" xfId="3" applyNumberFormat="1" applyFill="1" applyBorder="1"/>
    <xf numFmtId="164" fontId="1" fillId="0" borderId="0" xfId="3" applyNumberFormat="1"/>
    <xf numFmtId="9" fontId="0" fillId="0" borderId="0" xfId="0" applyNumberFormat="1" applyAlignment="1">
      <alignment horizontal="center" wrapText="1"/>
    </xf>
    <xf numFmtId="9" fontId="0" fillId="0" borderId="0" xfId="0" applyNumberFormat="1" applyAlignment="1">
      <alignment horizontal="center"/>
    </xf>
    <xf numFmtId="0" fontId="0" fillId="5" borderId="7" xfId="0" applyFill="1" applyBorder="1"/>
    <xf numFmtId="9" fontId="0" fillId="0" borderId="0" xfId="0" applyNumberFormat="1"/>
    <xf numFmtId="9" fontId="1" fillId="0" borderId="10" xfId="2" applyBorder="1" applyAlignment="1">
      <alignment horizontal="center" wrapText="1"/>
    </xf>
    <xf numFmtId="9" fontId="1" fillId="0" borderId="9" xfId="2" applyBorder="1" applyAlignment="1">
      <alignment horizontal="center" wrapText="1"/>
    </xf>
    <xf numFmtId="9" fontId="1" fillId="0" borderId="31" xfId="2" applyBorder="1" applyAlignment="1">
      <alignment horizontal="center" wrapText="1"/>
    </xf>
    <xf numFmtId="0" fontId="0" fillId="5" borderId="0" xfId="0" applyFill="1"/>
    <xf numFmtId="9" fontId="1" fillId="5" borderId="0" xfId="2" applyFill="1" applyBorder="1" applyAlignment="1">
      <alignment horizontal="center" wrapText="1"/>
    </xf>
    <xf numFmtId="9" fontId="1" fillId="5" borderId="1" xfId="2" applyFill="1" applyBorder="1" applyAlignment="1">
      <alignment horizontal="center" wrapText="1"/>
    </xf>
    <xf numFmtId="0" fontId="0" fillId="0" borderId="32" xfId="0" applyBorder="1" applyAlignment="1">
      <alignment horizontal="center"/>
    </xf>
    <xf numFmtId="0" fontId="0" fillId="0" borderId="15" xfId="0" applyBorder="1"/>
    <xf numFmtId="164" fontId="1" fillId="0" borderId="0" xfId="3" applyNumberFormat="1" applyFill="1"/>
    <xf numFmtId="0" fontId="9" fillId="4" borderId="0" xfId="0" applyFont="1" applyFill="1"/>
    <xf numFmtId="10" fontId="0" fillId="5" borderId="29" xfId="2" applyNumberFormat="1" applyFont="1" applyFill="1" applyBorder="1"/>
    <xf numFmtId="0" fontId="0" fillId="0" borderId="19" xfId="0" applyBorder="1" applyAlignment="1">
      <alignment horizontal="center" wrapText="1"/>
    </xf>
    <xf numFmtId="10" fontId="0" fillId="5" borderId="7" xfId="2" applyNumberFormat="1" applyFont="1" applyFill="1" applyBorder="1"/>
    <xf numFmtId="10" fontId="0" fillId="5" borderId="10" xfId="2" applyNumberFormat="1" applyFont="1" applyFill="1" applyBorder="1"/>
    <xf numFmtId="0" fontId="2" fillId="4" borderId="28" xfId="0" applyFont="1" applyFill="1" applyBorder="1"/>
    <xf numFmtId="0" fontId="12" fillId="4" borderId="15" xfId="0" applyFont="1" applyFill="1" applyBorder="1"/>
    <xf numFmtId="165" fontId="1" fillId="4" borderId="16" xfId="2" applyNumberFormat="1" applyFill="1" applyBorder="1" applyAlignment="1">
      <alignment horizontal="center"/>
    </xf>
    <xf numFmtId="165" fontId="1" fillId="4" borderId="16" xfId="2" applyNumberFormat="1" applyFill="1" applyBorder="1"/>
    <xf numFmtId="165" fontId="1" fillId="4" borderId="17" xfId="2" applyNumberFormat="1" applyFill="1" applyBorder="1"/>
    <xf numFmtId="0" fontId="2" fillId="4" borderId="25" xfId="0" applyFont="1" applyFill="1" applyBorder="1"/>
    <xf numFmtId="165" fontId="1" fillId="4" borderId="4" xfId="2" applyNumberFormat="1" applyFill="1" applyBorder="1" applyAlignment="1">
      <alignment horizontal="center"/>
    </xf>
    <xf numFmtId="165" fontId="1" fillId="4" borderId="26" xfId="2" applyNumberFormat="1" applyFill="1" applyBorder="1"/>
    <xf numFmtId="10" fontId="1" fillId="4" borderId="9" xfId="2" applyNumberFormat="1" applyFill="1" applyBorder="1" applyAlignment="1">
      <alignment horizontal="center"/>
    </xf>
    <xf numFmtId="10" fontId="1" fillId="4" borderId="10" xfId="2" applyNumberFormat="1" applyFill="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0" borderId="15" xfId="0" applyFont="1" applyBorder="1"/>
    <xf numFmtId="0" fontId="0" fillId="0" borderId="17" xfId="0" applyBorder="1"/>
    <xf numFmtId="0" fontId="4" fillId="0" borderId="8" xfId="0" applyFont="1" applyBorder="1"/>
    <xf numFmtId="49" fontId="4" fillId="4" borderId="0" xfId="0" applyNumberFormat="1" applyFont="1" applyFill="1"/>
    <xf numFmtId="0" fontId="5" fillId="4" borderId="0" xfId="0" applyFont="1" applyFill="1"/>
    <xf numFmtId="0" fontId="14" fillId="6" borderId="33" xfId="0" applyFont="1" applyFill="1" applyBorder="1"/>
    <xf numFmtId="0" fontId="2" fillId="3" borderId="9" xfId="0" applyFont="1" applyFill="1" applyBorder="1" applyAlignment="1">
      <alignment horizontal="center"/>
    </xf>
    <xf numFmtId="0" fontId="0" fillId="4" borderId="15" xfId="0" applyFill="1" applyBorder="1"/>
    <xf numFmtId="0" fontId="0" fillId="4" borderId="16" xfId="0" applyFill="1" applyBorder="1" applyAlignment="1">
      <alignment horizontal="center"/>
    </xf>
    <xf numFmtId="165" fontId="1" fillId="5" borderId="7" xfId="2" applyNumberFormat="1" applyFill="1" applyBorder="1"/>
    <xf numFmtId="165" fontId="1" fillId="5" borderId="10" xfId="2" applyNumberFormat="1" applyFill="1" applyBorder="1"/>
    <xf numFmtId="164" fontId="1" fillId="0" borderId="16" xfId="3" applyNumberFormat="1" applyBorder="1"/>
    <xf numFmtId="0" fontId="2" fillId="0" borderId="16" xfId="0" applyFont="1" applyBorder="1" applyAlignment="1">
      <alignment wrapText="1"/>
    </xf>
    <xf numFmtId="0" fontId="0" fillId="0" borderId="17" xfId="0" applyBorder="1" applyAlignment="1">
      <alignment wrapText="1"/>
    </xf>
    <xf numFmtId="9" fontId="1" fillId="3" borderId="0" xfId="2" applyFill="1" applyBorder="1"/>
    <xf numFmtId="9" fontId="1" fillId="3" borderId="9" xfId="2" applyFill="1" applyBorder="1"/>
    <xf numFmtId="0" fontId="0" fillId="0" borderId="9" xfId="0" applyBorder="1" applyAlignment="1">
      <alignment wrapText="1"/>
    </xf>
    <xf numFmtId="165" fontId="0" fillId="5" borderId="7" xfId="2" applyNumberFormat="1" applyFont="1" applyFill="1" applyBorder="1" applyAlignment="1">
      <alignment horizontal="right" wrapText="1"/>
    </xf>
    <xf numFmtId="165" fontId="0" fillId="5" borderId="7" xfId="2" applyNumberFormat="1" applyFont="1" applyFill="1" applyBorder="1" applyAlignment="1">
      <alignment horizontal="right"/>
    </xf>
    <xf numFmtId="10" fontId="1" fillId="0" borderId="0" xfId="2" applyNumberFormat="1" applyFill="1" applyBorder="1" applyAlignment="1">
      <alignment horizontal="center"/>
    </xf>
    <xf numFmtId="0" fontId="2" fillId="0" borderId="17" xfId="0" applyFont="1" applyBorder="1" applyAlignment="1">
      <alignment horizontal="center"/>
    </xf>
    <xf numFmtId="10" fontId="0" fillId="0" borderId="12" xfId="2" applyNumberFormat="1" applyFont="1" applyFill="1" applyBorder="1" applyAlignment="1">
      <alignment horizontal="center"/>
    </xf>
    <xf numFmtId="10" fontId="0" fillId="3" borderId="2" xfId="2" applyNumberFormat="1" applyFont="1" applyFill="1" applyBorder="1" applyAlignment="1">
      <alignment horizontal="center"/>
    </xf>
    <xf numFmtId="0" fontId="2" fillId="0" borderId="0" xfId="0" applyFont="1" applyAlignment="1">
      <alignment horizontal="center"/>
    </xf>
    <xf numFmtId="0" fontId="0" fillId="0" borderId="28" xfId="0" applyBorder="1"/>
    <xf numFmtId="0" fontId="0" fillId="5" borderId="29" xfId="0" applyFill="1" applyBorder="1"/>
    <xf numFmtId="9" fontId="0" fillId="0" borderId="0" xfId="0" quotePrefix="1" applyNumberFormat="1" applyAlignment="1">
      <alignment horizontal="center"/>
    </xf>
    <xf numFmtId="2" fontId="0" fillId="0" borderId="0" xfId="0" applyNumberFormat="1" applyAlignment="1">
      <alignment horizontal="center" wrapText="1"/>
    </xf>
    <xf numFmtId="10" fontId="1" fillId="3" borderId="0" xfId="2" applyNumberFormat="1" applyFill="1" applyBorder="1"/>
    <xf numFmtId="165" fontId="0" fillId="0" borderId="0" xfId="0" applyNumberFormat="1"/>
    <xf numFmtId="165" fontId="1" fillId="5" borderId="9" xfId="2" applyNumberFormat="1" applyFill="1" applyBorder="1" applyAlignment="1">
      <alignment horizontal="center"/>
    </xf>
    <xf numFmtId="0" fontId="7" fillId="7" borderId="6" xfId="0" applyFont="1" applyFill="1" applyBorder="1"/>
    <xf numFmtId="2" fontId="4" fillId="7" borderId="0" xfId="2" applyNumberFormat="1" applyFont="1" applyFill="1" applyBorder="1"/>
    <xf numFmtId="2" fontId="4" fillId="7" borderId="7" xfId="2" applyNumberFormat="1" applyFont="1" applyFill="1" applyBorder="1"/>
    <xf numFmtId="2" fontId="1" fillId="7" borderId="0" xfId="2" applyNumberFormat="1" applyFill="1" applyBorder="1"/>
    <xf numFmtId="2" fontId="1" fillId="7" borderId="7" xfId="2" applyNumberFormat="1" applyFill="1" applyBorder="1"/>
    <xf numFmtId="165" fontId="7" fillId="7" borderId="6" xfId="2" applyNumberFormat="1" applyFont="1" applyFill="1" applyBorder="1"/>
    <xf numFmtId="0" fontId="7" fillId="7" borderId="8" xfId="0" applyFont="1" applyFill="1" applyBorder="1"/>
    <xf numFmtId="2" fontId="1" fillId="7" borderId="9" xfId="2" applyNumberFormat="1" applyFill="1" applyBorder="1"/>
    <xf numFmtId="2" fontId="1" fillId="7" borderId="10" xfId="2" applyNumberFormat="1" applyFill="1" applyBorder="1"/>
    <xf numFmtId="165" fontId="1" fillId="2" borderId="0" xfId="2" applyNumberFormat="1" applyFill="1" applyBorder="1"/>
    <xf numFmtId="2" fontId="1" fillId="2" borderId="0" xfId="2" applyNumberFormat="1" applyFill="1" applyBorder="1"/>
    <xf numFmtId="171" fontId="1" fillId="2" borderId="0" xfId="2" applyNumberFormat="1" applyFill="1" applyBorder="1"/>
    <xf numFmtId="2" fontId="1" fillId="4" borderId="16" xfId="2" quotePrefix="1" applyNumberFormat="1" applyFill="1" applyBorder="1"/>
    <xf numFmtId="49" fontId="1" fillId="4" borderId="16" xfId="2" quotePrefix="1" applyNumberFormat="1" applyFill="1" applyBorder="1"/>
    <xf numFmtId="171" fontId="1" fillId="4" borderId="16" xfId="2" quotePrefix="1" applyNumberFormat="1" applyFill="1" applyBorder="1"/>
    <xf numFmtId="0" fontId="0" fillId="7" borderId="6" xfId="0" applyFill="1" applyBorder="1"/>
    <xf numFmtId="167" fontId="1" fillId="7" borderId="0" xfId="2" applyNumberFormat="1" applyFill="1" applyBorder="1"/>
    <xf numFmtId="0" fontId="10" fillId="7" borderId="6" xfId="0" applyFont="1" applyFill="1" applyBorder="1"/>
    <xf numFmtId="0" fontId="10" fillId="0" borderId="6" xfId="0" applyFont="1" applyBorder="1"/>
    <xf numFmtId="2" fontId="0" fillId="7" borderId="0" xfId="0" applyNumberFormat="1" applyFill="1"/>
    <xf numFmtId="0" fontId="10" fillId="2" borderId="0" xfId="0" applyFont="1" applyFill="1"/>
    <xf numFmtId="2" fontId="1" fillId="2" borderId="0" xfId="2" applyNumberFormat="1" applyFont="1" applyFill="1"/>
    <xf numFmtId="2" fontId="1" fillId="0" borderId="0" xfId="2" applyNumberFormat="1" applyFill="1"/>
    <xf numFmtId="0" fontId="2" fillId="0" borderId="8" xfId="0" applyFont="1" applyBorder="1"/>
    <xf numFmtId="171" fontId="1" fillId="0" borderId="9" xfId="2" applyNumberFormat="1" applyBorder="1" applyAlignment="1">
      <alignment horizontal="center"/>
    </xf>
    <xf numFmtId="170" fontId="1" fillId="7" borderId="9" xfId="2" applyNumberFormat="1" applyFill="1" applyBorder="1" applyAlignment="1">
      <alignment horizontal="center"/>
    </xf>
    <xf numFmtId="165" fontId="1" fillId="0" borderId="10" xfId="2" applyNumberFormat="1" applyBorder="1"/>
    <xf numFmtId="172" fontId="1" fillId="0" borderId="0" xfId="2" applyNumberFormat="1" applyFill="1" applyBorder="1"/>
    <xf numFmtId="165" fontId="1" fillId="5" borderId="36" xfId="2" applyNumberFormat="1" applyFill="1" applyBorder="1"/>
    <xf numFmtId="170" fontId="1" fillId="5" borderId="36" xfId="2" applyNumberFormat="1" applyFill="1" applyBorder="1"/>
    <xf numFmtId="168" fontId="1" fillId="0" borderId="0" xfId="2" applyNumberFormat="1" applyFill="1" applyBorder="1" applyAlignment="1">
      <alignment horizontal="center"/>
    </xf>
    <xf numFmtId="0" fontId="0" fillId="0" borderId="36" xfId="0" applyBorder="1"/>
    <xf numFmtId="0" fontId="0" fillId="0" borderId="20" xfId="0" applyBorder="1" applyAlignment="1">
      <alignment horizontal="center"/>
    </xf>
    <xf numFmtId="0" fontId="0" fillId="0" borderId="21" xfId="0" applyBorder="1" applyAlignment="1">
      <alignment horizontal="center"/>
    </xf>
    <xf numFmtId="0" fontId="2" fillId="0" borderId="37" xfId="0" applyFont="1" applyBorder="1"/>
    <xf numFmtId="10" fontId="7" fillId="0" borderId="1" xfId="2" applyNumberFormat="1" applyFont="1" applyFill="1" applyBorder="1" applyAlignment="1">
      <alignment horizontal="center"/>
    </xf>
    <xf numFmtId="10" fontId="7" fillId="0" borderId="0" xfId="2" applyNumberFormat="1" applyFont="1" applyFill="1" applyBorder="1" applyAlignment="1">
      <alignment horizontal="center"/>
    </xf>
    <xf numFmtId="10" fontId="0" fillId="0" borderId="0" xfId="2" applyNumberFormat="1" applyFont="1" applyFill="1" applyBorder="1" applyAlignment="1">
      <alignment horizontal="center"/>
    </xf>
    <xf numFmtId="10" fontId="0" fillId="0" borderId="37" xfId="2" applyNumberFormat="1" applyFont="1" applyBorder="1"/>
    <xf numFmtId="10" fontId="7" fillId="0" borderId="37" xfId="2" applyNumberFormat="1" applyFont="1" applyFill="1" applyBorder="1"/>
    <xf numFmtId="171" fontId="0" fillId="0" borderId="0" xfId="0" applyNumberFormat="1"/>
    <xf numFmtId="0" fontId="2" fillId="0" borderId="38" xfId="0" applyFont="1" applyBorder="1"/>
    <xf numFmtId="10" fontId="7" fillId="0" borderId="3" xfId="2" applyNumberFormat="1" applyFont="1" applyFill="1" applyBorder="1" applyAlignment="1">
      <alignment horizontal="center"/>
    </xf>
    <xf numFmtId="10" fontId="7" fillId="0" borderId="4" xfId="2" applyNumberFormat="1" applyFont="1" applyFill="1" applyBorder="1" applyAlignment="1">
      <alignment horizontal="center"/>
    </xf>
    <xf numFmtId="10" fontId="7" fillId="0" borderId="38" xfId="2" applyNumberFormat="1" applyFont="1" applyFill="1" applyBorder="1"/>
    <xf numFmtId="168" fontId="6" fillId="0" borderId="0" xfId="2" applyNumberFormat="1" applyFont="1" applyFill="1" applyBorder="1" applyAlignment="1">
      <alignment horizontal="center"/>
    </xf>
    <xf numFmtId="10" fontId="6" fillId="0" borderId="0" xfId="2" applyNumberFormat="1" applyFont="1" applyFill="1" applyBorder="1" applyAlignment="1">
      <alignment horizontal="center"/>
    </xf>
    <xf numFmtId="170" fontId="0" fillId="0" borderId="0" xfId="0" applyNumberFormat="1"/>
    <xf numFmtId="0" fontId="0" fillId="0" borderId="14" xfId="0" applyBorder="1"/>
    <xf numFmtId="10" fontId="0" fillId="0" borderId="14" xfId="0" applyNumberFormat="1" applyBorder="1" applyAlignment="1">
      <alignment horizontal="center"/>
    </xf>
    <xf numFmtId="10" fontId="1" fillId="0" borderId="12" xfId="2" applyNumberFormat="1" applyFill="1" applyBorder="1" applyAlignment="1">
      <alignment horizontal="center"/>
    </xf>
    <xf numFmtId="0" fontId="0" fillId="0" borderId="3" xfId="0" applyBorder="1" applyAlignment="1">
      <alignment horizontal="center"/>
    </xf>
    <xf numFmtId="10" fontId="1" fillId="0" borderId="4" xfId="2" applyNumberFormat="1" applyFill="1" applyBorder="1" applyAlignment="1">
      <alignment horizontal="center"/>
    </xf>
    <xf numFmtId="165" fontId="7" fillId="0" borderId="21" xfId="2" applyNumberFormat="1" applyFont="1" applyBorder="1"/>
    <xf numFmtId="10" fontId="0" fillId="0" borderId="2" xfId="2" applyNumberFormat="1" applyFont="1" applyFill="1" applyBorder="1" applyAlignment="1">
      <alignment horizontal="center"/>
    </xf>
    <xf numFmtId="0" fontId="16" fillId="0" borderId="0" xfId="0" applyFont="1"/>
    <xf numFmtId="10" fontId="17" fillId="0" borderId="0" xfId="2" applyNumberFormat="1" applyFont="1" applyFill="1" applyBorder="1"/>
    <xf numFmtId="0" fontId="7" fillId="0" borderId="0" xfId="0" applyFont="1" applyAlignment="1">
      <alignment wrapText="1"/>
    </xf>
    <xf numFmtId="165" fontId="1" fillId="5" borderId="10" xfId="2" applyNumberFormat="1" applyFill="1" applyBorder="1" applyAlignment="1">
      <alignment horizontal="center"/>
    </xf>
    <xf numFmtId="10" fontId="0" fillId="0" borderId="13" xfId="2" applyNumberFormat="1" applyFont="1" applyFill="1" applyBorder="1" applyAlignment="1">
      <alignment horizontal="center"/>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0" fontId="0" fillId="0" borderId="12" xfId="2" applyNumberFormat="1" applyFont="1" applyBorder="1" applyAlignment="1">
      <alignment horizontal="center"/>
    </xf>
    <xf numFmtId="10" fontId="0" fillId="0" borderId="13" xfId="2" applyNumberFormat="1" applyFont="1" applyBorder="1" applyAlignment="1">
      <alignment horizontal="center"/>
    </xf>
    <xf numFmtId="10" fontId="0" fillId="0" borderId="0" xfId="2" applyNumberFormat="1" applyFont="1" applyBorder="1" applyAlignment="1">
      <alignment horizontal="center"/>
    </xf>
    <xf numFmtId="10" fontId="0" fillId="0" borderId="2" xfId="2" applyNumberFormat="1" applyFont="1" applyBorder="1" applyAlignment="1">
      <alignment horizontal="center"/>
    </xf>
    <xf numFmtId="10" fontId="0" fillId="0" borderId="4" xfId="2" applyNumberFormat="1" applyFont="1" applyBorder="1" applyAlignment="1">
      <alignment horizontal="center"/>
    </xf>
    <xf numFmtId="10" fontId="0" fillId="0" borderId="5" xfId="2" applyNumberFormat="1" applyFont="1" applyBorder="1" applyAlignment="1">
      <alignment horizontal="center"/>
    </xf>
    <xf numFmtId="0" fontId="6" fillId="4" borderId="6" xfId="0" applyFont="1" applyFill="1" applyBorder="1"/>
    <xf numFmtId="0" fontId="6" fillId="4" borderId="2" xfId="0" applyFont="1" applyFill="1" applyBorder="1" applyAlignment="1">
      <alignment horizontal="center"/>
    </xf>
    <xf numFmtId="10" fontId="7" fillId="0" borderId="0" xfId="2" applyNumberFormat="1" applyFont="1" applyFill="1" applyBorder="1"/>
    <xf numFmtId="10" fontId="0" fillId="0" borderId="0" xfId="2" applyNumberFormat="1" applyFont="1" applyBorder="1"/>
    <xf numFmtId="0" fontId="0" fillId="0" borderId="36" xfId="0" applyBorder="1" applyAlignment="1">
      <alignment horizontal="center"/>
    </xf>
    <xf numFmtId="0" fontId="0" fillId="0" borderId="38"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0" borderId="2" xfId="0" applyBorder="1" applyAlignment="1">
      <alignment horizontal="center"/>
    </xf>
    <xf numFmtId="0" fontId="18" fillId="0" borderId="0" xfId="0" applyFont="1"/>
    <xf numFmtId="10" fontId="18" fillId="0" borderId="12" xfId="0" applyNumberFormat="1" applyFont="1" applyBorder="1" applyAlignment="1">
      <alignment horizontal="center"/>
    </xf>
    <xf numFmtId="10" fontId="18" fillId="0" borderId="11" xfId="0" applyNumberFormat="1" applyFont="1" applyBorder="1" applyAlignment="1">
      <alignment horizontal="center"/>
    </xf>
    <xf numFmtId="10" fontId="0" fillId="0" borderId="1" xfId="2" applyNumberFormat="1" applyFont="1" applyBorder="1" applyAlignment="1">
      <alignment horizontal="center"/>
    </xf>
    <xf numFmtId="10" fontId="0" fillId="0" borderId="3" xfId="2" applyNumberFormat="1" applyFont="1" applyBorder="1" applyAlignment="1">
      <alignment horizontal="center"/>
    </xf>
    <xf numFmtId="10" fontId="18" fillId="0" borderId="13" xfId="0" applyNumberFormat="1" applyFont="1" applyBorder="1" applyAlignment="1">
      <alignment horizontal="center"/>
    </xf>
    <xf numFmtId="10" fontId="18" fillId="0" borderId="14" xfId="0" applyNumberFormat="1" applyFont="1" applyBorder="1" applyAlignment="1">
      <alignment horizontal="center"/>
    </xf>
    <xf numFmtId="10" fontId="18" fillId="0" borderId="20" xfId="0" applyNumberFormat="1" applyFont="1" applyBorder="1" applyAlignment="1">
      <alignment horizontal="center"/>
    </xf>
    <xf numFmtId="10" fontId="18" fillId="0" borderId="21" xfId="0" applyNumberFormat="1" applyFont="1" applyBorder="1" applyAlignment="1">
      <alignment horizontal="center"/>
    </xf>
    <xf numFmtId="10" fontId="18" fillId="8" borderId="20" xfId="0" applyNumberFormat="1" applyFont="1" applyFill="1" applyBorder="1" applyAlignment="1">
      <alignment horizontal="center"/>
    </xf>
    <xf numFmtId="10" fontId="0" fillId="8" borderId="0" xfId="2" applyNumberFormat="1" applyFont="1" applyFill="1" applyBorder="1" applyAlignment="1">
      <alignment horizontal="center"/>
    </xf>
    <xf numFmtId="10" fontId="0" fillId="8" borderId="4" xfId="2" applyNumberFormat="1" applyFont="1" applyFill="1" applyBorder="1" applyAlignment="1">
      <alignment horizontal="center"/>
    </xf>
    <xf numFmtId="0" fontId="0" fillId="8" borderId="12" xfId="0" applyFill="1" applyBorder="1" applyAlignment="1">
      <alignment horizontal="center"/>
    </xf>
    <xf numFmtId="0" fontId="0" fillId="8" borderId="0" xfId="0" applyFill="1" applyAlignment="1">
      <alignment horizontal="center"/>
    </xf>
    <xf numFmtId="0" fontId="0" fillId="8" borderId="4" xfId="0" applyFill="1" applyBorder="1" applyAlignment="1">
      <alignment horizontal="center"/>
    </xf>
    <xf numFmtId="10" fontId="18" fillId="0" borderId="36" xfId="0" applyNumberFormat="1" applyFont="1" applyBorder="1" applyAlignment="1">
      <alignment horizontal="center"/>
    </xf>
    <xf numFmtId="10" fontId="0" fillId="0" borderId="3" xfId="0" applyNumberFormat="1" applyBorder="1" applyAlignment="1">
      <alignment horizontal="center"/>
    </xf>
    <xf numFmtId="10" fontId="0" fillId="0" borderId="11" xfId="0" applyNumberFormat="1" applyBorder="1" applyAlignment="1">
      <alignment horizontal="center"/>
    </xf>
    <xf numFmtId="10" fontId="0" fillId="0" borderId="1" xfId="0" applyNumberFormat="1" applyBorder="1" applyAlignment="1">
      <alignment horizontal="center"/>
    </xf>
    <xf numFmtId="10" fontId="0" fillId="0" borderId="11" xfId="2" applyNumberFormat="1" applyFont="1" applyBorder="1" applyAlignment="1">
      <alignment horizontal="center"/>
    </xf>
    <xf numFmtId="43" fontId="0" fillId="0" borderId="0" xfId="1" applyFont="1"/>
    <xf numFmtId="43" fontId="0" fillId="0" borderId="0" xfId="2" applyNumberFormat="1" applyFont="1"/>
    <xf numFmtId="0" fontId="7" fillId="0" borderId="0" xfId="0" applyFont="1" applyAlignment="1">
      <alignment horizontal="right"/>
    </xf>
    <xf numFmtId="43" fontId="0" fillId="0" borderId="0" xfId="0" applyNumberFormat="1"/>
    <xf numFmtId="0" fontId="0" fillId="8" borderId="0" xfId="0" applyFill="1"/>
    <xf numFmtId="0" fontId="0" fillId="0" borderId="14"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165" fontId="18" fillId="0" borderId="14" xfId="2" applyNumberFormat="1" applyFont="1" applyBorder="1" applyAlignment="1">
      <alignment horizontal="center" wrapText="1"/>
    </xf>
    <xf numFmtId="165" fontId="18" fillId="0" borderId="20" xfId="2" applyNumberFormat="1" applyFont="1" applyBorder="1" applyAlignment="1">
      <alignment horizontal="center" wrapText="1"/>
    </xf>
    <xf numFmtId="165" fontId="18" fillId="0" borderId="21" xfId="2" applyNumberFormat="1" applyFont="1" applyBorder="1" applyAlignment="1">
      <alignment horizontal="center" wrapText="1"/>
    </xf>
    <xf numFmtId="0" fontId="12" fillId="0" borderId="22" xfId="0" applyFont="1" applyBorder="1" applyAlignment="1">
      <alignment horizontal="center"/>
    </xf>
    <xf numFmtId="0" fontId="12" fillId="0" borderId="34" xfId="0" applyFont="1" applyBorder="1" applyAlignment="1">
      <alignment horizontal="center"/>
    </xf>
    <xf numFmtId="0" fontId="12" fillId="0" borderId="24" xfId="0" applyFont="1" applyBorder="1" applyAlignment="1">
      <alignment horizontal="center"/>
    </xf>
    <xf numFmtId="0" fontId="12" fillId="0" borderId="23" xfId="0" applyFont="1" applyBorder="1" applyAlignment="1">
      <alignment horizontal="center"/>
    </xf>
    <xf numFmtId="0" fontId="0" fillId="0" borderId="3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2" fontId="7" fillId="0" borderId="0" xfId="2" applyNumberFormat="1" applyFont="1" applyFill="1" applyBorder="1" applyAlignment="1">
      <alignment horizontal="center" wrapText="1"/>
    </xf>
    <xf numFmtId="0" fontId="21" fillId="0" borderId="0" xfId="0" applyFont="1"/>
    <xf numFmtId="0" fontId="0" fillId="0" borderId="0" xfId="0" applyFont="1"/>
    <xf numFmtId="165" fontId="0" fillId="0" borderId="0" xfId="2" applyNumberFormat="1" applyFont="1" applyFill="1" applyBorder="1"/>
    <xf numFmtId="0" fontId="0" fillId="0" borderId="14" xfId="0" applyFont="1" applyBorder="1"/>
    <xf numFmtId="0" fontId="0" fillId="0" borderId="14" xfId="0" applyFont="1" applyBorder="1" applyAlignment="1">
      <alignment horizontal="center" wrapText="1"/>
    </xf>
    <xf numFmtId="0" fontId="0" fillId="0" borderId="20" xfId="0" applyFont="1" applyBorder="1" applyAlignment="1">
      <alignment horizontal="center" wrapText="1"/>
    </xf>
    <xf numFmtId="0" fontId="0" fillId="0" borderId="21" xfId="0" applyFont="1" applyBorder="1" applyAlignment="1">
      <alignment horizontal="center" wrapText="1"/>
    </xf>
    <xf numFmtId="10" fontId="0" fillId="0" borderId="14" xfId="0" applyNumberFormat="1" applyFont="1" applyBorder="1" applyAlignment="1">
      <alignment horizontal="center"/>
    </xf>
    <xf numFmtId="0" fontId="0" fillId="0" borderId="1" xfId="0" applyFont="1" applyBorder="1" applyAlignment="1">
      <alignment horizontal="center"/>
    </xf>
    <xf numFmtId="0" fontId="0" fillId="0" borderId="3" xfId="0" applyFont="1" applyBorder="1" applyAlignment="1">
      <alignment horizontal="center"/>
    </xf>
    <xf numFmtId="0" fontId="0" fillId="0" borderId="35" xfId="0" applyFont="1" applyBorder="1" applyAlignment="1">
      <alignment horizontal="center"/>
    </xf>
    <xf numFmtId="10" fontId="0" fillId="0" borderId="11" xfId="0" applyNumberFormat="1" applyFont="1" applyBorder="1" applyAlignment="1">
      <alignment horizontal="center"/>
    </xf>
    <xf numFmtId="0" fontId="0" fillId="0" borderId="37" xfId="0" applyFont="1" applyBorder="1" applyAlignment="1">
      <alignment horizontal="center"/>
    </xf>
    <xf numFmtId="10" fontId="0" fillId="0" borderId="1" xfId="0" applyNumberFormat="1" applyFont="1" applyBorder="1" applyAlignment="1">
      <alignment horizontal="center"/>
    </xf>
    <xf numFmtId="0" fontId="0" fillId="0" borderId="38" xfId="0" applyFont="1" applyBorder="1" applyAlignment="1">
      <alignment horizontal="center"/>
    </xf>
    <xf numFmtId="10" fontId="0" fillId="0" borderId="3" xfId="0" applyNumberFormat="1" applyFont="1" applyBorder="1" applyAlignment="1">
      <alignment horizontal="center"/>
    </xf>
    <xf numFmtId="0" fontId="22" fillId="0" borderId="0" xfId="0" applyFont="1"/>
    <xf numFmtId="0" fontId="22" fillId="0" borderId="14" xfId="0" applyFont="1" applyBorder="1"/>
    <xf numFmtId="0" fontId="22" fillId="0" borderId="14" xfId="0" applyFont="1" applyBorder="1" applyAlignment="1">
      <alignment horizontal="center" wrapText="1"/>
    </xf>
    <xf numFmtId="0" fontId="22" fillId="0" borderId="20" xfId="0" applyFont="1" applyBorder="1" applyAlignment="1">
      <alignment horizontal="center" wrapText="1"/>
    </xf>
    <xf numFmtId="0" fontId="22" fillId="0" borderId="21" xfId="0" applyFont="1" applyBorder="1" applyAlignment="1">
      <alignment horizontal="center" wrapText="1"/>
    </xf>
    <xf numFmtId="0" fontId="22" fillId="0" borderId="0" xfId="0" applyFont="1" applyAlignment="1">
      <alignment horizontal="right"/>
    </xf>
    <xf numFmtId="10" fontId="22" fillId="0" borderId="14" xfId="0" applyNumberFormat="1" applyFont="1" applyBorder="1" applyAlignment="1">
      <alignment horizontal="center"/>
    </xf>
    <xf numFmtId="0" fontId="22" fillId="0" borderId="1" xfId="0" applyFont="1" applyBorder="1" applyAlignment="1">
      <alignment horizontal="center"/>
    </xf>
    <xf numFmtId="10" fontId="22" fillId="0" borderId="1" xfId="0" applyNumberFormat="1" applyFont="1" applyBorder="1" applyAlignment="1">
      <alignment horizontal="center"/>
    </xf>
    <xf numFmtId="10" fontId="22" fillId="0" borderId="12" xfId="2" applyNumberFormat="1" applyFont="1" applyBorder="1" applyAlignment="1">
      <alignment horizontal="center"/>
    </xf>
    <xf numFmtId="10" fontId="22" fillId="0" borderId="13" xfId="2" applyNumberFormat="1" applyFont="1" applyBorder="1" applyAlignment="1">
      <alignment horizontal="center"/>
    </xf>
    <xf numFmtId="43" fontId="22" fillId="0" borderId="0" xfId="2" applyNumberFormat="1" applyFont="1"/>
    <xf numFmtId="43" fontId="22" fillId="0" borderId="0" xfId="1" applyFont="1"/>
    <xf numFmtId="10" fontId="22" fillId="0" borderId="0" xfId="2" applyNumberFormat="1" applyFont="1" applyBorder="1" applyAlignment="1">
      <alignment horizontal="center"/>
    </xf>
    <xf numFmtId="10" fontId="22" fillId="0" borderId="2" xfId="2" applyNumberFormat="1" applyFont="1" applyBorder="1" applyAlignment="1">
      <alignment horizontal="center"/>
    </xf>
    <xf numFmtId="0" fontId="22" fillId="0" borderId="3" xfId="0" applyFont="1" applyBorder="1" applyAlignment="1">
      <alignment horizontal="center"/>
    </xf>
    <xf numFmtId="10" fontId="22" fillId="0" borderId="3" xfId="0" applyNumberFormat="1" applyFont="1" applyBorder="1" applyAlignment="1">
      <alignment horizontal="center"/>
    </xf>
    <xf numFmtId="10" fontId="22" fillId="0" borderId="4" xfId="2" applyNumberFormat="1" applyFont="1" applyBorder="1" applyAlignment="1">
      <alignment horizontal="center"/>
    </xf>
    <xf numFmtId="10" fontId="22" fillId="0" borderId="5" xfId="2" applyNumberFormat="1" applyFont="1" applyBorder="1" applyAlignment="1">
      <alignment horizontal="center"/>
    </xf>
    <xf numFmtId="0" fontId="23" fillId="0" borderId="0" xfId="0" applyFont="1"/>
    <xf numFmtId="10" fontId="22" fillId="0" borderId="11" xfId="2" applyNumberFormat="1" applyFont="1" applyBorder="1" applyAlignment="1">
      <alignment horizontal="center"/>
    </xf>
    <xf numFmtId="43" fontId="22" fillId="0" borderId="0" xfId="0" applyNumberFormat="1" applyFont="1"/>
    <xf numFmtId="10" fontId="22" fillId="0" borderId="0" xfId="0" applyNumberFormat="1" applyFont="1"/>
    <xf numFmtId="10" fontId="22" fillId="0" borderId="1" xfId="2" applyNumberFormat="1" applyFont="1" applyBorder="1" applyAlignment="1">
      <alignment horizontal="center"/>
    </xf>
    <xf numFmtId="10" fontId="22" fillId="0" borderId="3" xfId="2" applyNumberFormat="1" applyFont="1" applyBorder="1" applyAlignment="1">
      <alignment horizontal="center"/>
    </xf>
    <xf numFmtId="10" fontId="22" fillId="0" borderId="0" xfId="2" applyNumberFormat="1" applyFont="1"/>
    <xf numFmtId="0" fontId="22" fillId="0" borderId="35" xfId="0" applyFont="1" applyBorder="1" applyAlignment="1">
      <alignment horizontal="center"/>
    </xf>
    <xf numFmtId="10" fontId="22" fillId="0" borderId="12" xfId="2" applyNumberFormat="1" applyFont="1" applyFill="1" applyBorder="1" applyAlignment="1">
      <alignment horizontal="center"/>
    </xf>
    <xf numFmtId="10" fontId="22" fillId="0" borderId="13" xfId="2" applyNumberFormat="1" applyFont="1" applyFill="1" applyBorder="1" applyAlignment="1">
      <alignment horizontal="center"/>
    </xf>
    <xf numFmtId="0" fontId="22" fillId="0" borderId="37" xfId="0" applyFont="1" applyBorder="1" applyAlignment="1">
      <alignment horizontal="center"/>
    </xf>
    <xf numFmtId="10" fontId="22" fillId="0" borderId="0" xfId="2" applyNumberFormat="1" applyFont="1" applyFill="1" applyBorder="1" applyAlignment="1">
      <alignment horizontal="center"/>
    </xf>
    <xf numFmtId="10" fontId="22" fillId="0" borderId="2" xfId="2" applyNumberFormat="1" applyFont="1" applyFill="1" applyBorder="1" applyAlignment="1">
      <alignment horizontal="center"/>
    </xf>
    <xf numFmtId="10" fontId="22" fillId="4" borderId="0" xfId="2" applyNumberFormat="1" applyFont="1" applyFill="1" applyBorder="1"/>
    <xf numFmtId="165" fontId="22" fillId="4" borderId="0" xfId="2" applyNumberFormat="1" applyFont="1" applyFill="1" applyBorder="1"/>
    <xf numFmtId="0" fontId="22" fillId="0" borderId="38" xfId="0" applyFont="1" applyBorder="1" applyAlignment="1">
      <alignment horizontal="center"/>
    </xf>
    <xf numFmtId="10" fontId="22" fillId="0" borderId="4" xfId="2" applyNumberFormat="1" applyFont="1" applyFill="1" applyBorder="1" applyAlignment="1">
      <alignment horizontal="center"/>
    </xf>
    <xf numFmtId="10" fontId="22" fillId="0" borderId="5" xfId="2" applyNumberFormat="1" applyFont="1" applyFill="1" applyBorder="1" applyAlignment="1">
      <alignment horizontal="center"/>
    </xf>
    <xf numFmtId="0" fontId="22" fillId="0" borderId="11" xfId="0" applyFont="1" applyBorder="1" applyAlignment="1">
      <alignment horizontal="center" wrapText="1"/>
    </xf>
    <xf numFmtId="0" fontId="22" fillId="0" borderId="11" xfId="0" applyFont="1" applyBorder="1" applyAlignment="1">
      <alignment horizontal="center"/>
    </xf>
    <xf numFmtId="10" fontId="22" fillId="8" borderId="20" xfId="0" applyNumberFormat="1" applyFont="1" applyFill="1" applyBorder="1" applyAlignment="1">
      <alignment horizontal="center"/>
    </xf>
    <xf numFmtId="0" fontId="22" fillId="8" borderId="0" xfId="0" applyFont="1" applyFill="1" applyAlignment="1">
      <alignment horizontal="center"/>
    </xf>
    <xf numFmtId="0" fontId="22" fillId="8" borderId="4" xfId="0" applyFont="1" applyFill="1" applyBorder="1" applyAlignment="1">
      <alignment horizontal="center"/>
    </xf>
    <xf numFmtId="10" fontId="22" fillId="0" borderId="11" xfId="0" applyNumberFormat="1" applyFont="1" applyBorder="1" applyAlignment="1">
      <alignment horizontal="center"/>
    </xf>
    <xf numFmtId="10" fontId="22" fillId="0" borderId="12" xfId="0" applyNumberFormat="1" applyFont="1" applyBorder="1" applyAlignment="1">
      <alignment horizontal="center"/>
    </xf>
    <xf numFmtId="10" fontId="22" fillId="0" borderId="0" xfId="0" applyNumberFormat="1" applyFont="1" applyAlignment="1">
      <alignment horizontal="center"/>
    </xf>
    <xf numFmtId="10" fontId="22" fillId="0" borderId="4" xfId="0" applyNumberFormat="1" applyFont="1" applyBorder="1" applyAlignment="1">
      <alignment horizontal="center"/>
    </xf>
    <xf numFmtId="2" fontId="22" fillId="0" borderId="0" xfId="0" applyNumberFormat="1" applyFont="1"/>
    <xf numFmtId="9" fontId="22" fillId="0" borderId="0" xfId="2" applyFont="1"/>
    <xf numFmtId="0" fontId="22" fillId="0" borderId="0" xfId="0" applyFont="1" applyAlignment="1">
      <alignment horizontal="center"/>
    </xf>
    <xf numFmtId="0" fontId="22" fillId="0" borderId="0" xfId="0" applyFont="1" applyAlignment="1">
      <alignment wrapText="1"/>
    </xf>
    <xf numFmtId="165" fontId="22" fillId="0" borderId="0" xfId="2" applyNumberFormat="1" applyFont="1" applyFill="1" applyBorder="1"/>
    <xf numFmtId="2" fontId="22" fillId="0" borderId="0" xfId="2" applyNumberFormat="1" applyFont="1" applyFill="1" applyBorder="1"/>
    <xf numFmtId="8" fontId="22" fillId="0" borderId="0" xfId="0" applyNumberFormat="1" applyFont="1"/>
    <xf numFmtId="167" fontId="22" fillId="0" borderId="0" xfId="0" applyNumberFormat="1" applyFont="1"/>
    <xf numFmtId="165" fontId="22" fillId="0" borderId="0" xfId="2" applyNumberFormat="1" applyFont="1"/>
    <xf numFmtId="0" fontId="22" fillId="0" borderId="36" xfId="0" applyFont="1" applyBorder="1" applyAlignment="1">
      <alignment horizontal="center" wrapText="1"/>
    </xf>
    <xf numFmtId="10" fontId="22" fillId="0" borderId="35" xfId="2" applyNumberFormat="1" applyFont="1" applyFill="1" applyBorder="1" applyAlignment="1">
      <alignment horizontal="center"/>
    </xf>
    <xf numFmtId="10" fontId="22" fillId="0" borderId="37" xfId="2" applyNumberFormat="1" applyFont="1" applyFill="1" applyBorder="1" applyAlignment="1">
      <alignment horizontal="center"/>
    </xf>
    <xf numFmtId="10" fontId="22" fillId="0" borderId="38" xfId="2" applyNumberFormat="1" applyFont="1" applyFill="1" applyBorder="1" applyAlignment="1">
      <alignment horizontal="center"/>
    </xf>
  </cellXfs>
  <cellStyles count="18">
    <cellStyle name="Komma" xfId="1" builtinId="3"/>
    <cellStyle name="Komma 2" xfId="3" xr:uid="{6B12007D-4307-45E9-B80E-B2FA021B0079}"/>
    <cellStyle name="Komma 2 2" xfId="5" xr:uid="{AC749799-01C2-4754-A86B-AFEC65E4CDA4}"/>
    <cellStyle name="Komma 2 3" xfId="7" xr:uid="{60EFEEAD-26D7-4D9C-B561-7248E233779C}"/>
    <cellStyle name="Komma 2 4" xfId="9" xr:uid="{D653E766-B501-4691-A6AF-767359DD31CB}"/>
    <cellStyle name="Komma 2 5" xfId="11" xr:uid="{347F478A-E74B-4418-B503-DA5799FA0202}"/>
    <cellStyle name="Komma 2 6" xfId="13" xr:uid="{4F62D9E3-521B-4C16-BA05-52DEA5D53651}"/>
    <cellStyle name="Komma 2 7" xfId="15" xr:uid="{833116B2-2A23-4445-86F8-EDFE65B016B5}"/>
    <cellStyle name="Komma 2 8" xfId="17" xr:uid="{AC8C4C06-D785-445F-9C09-3EFA8D60B974}"/>
    <cellStyle name="Komma 3" xfId="4" xr:uid="{61144F5E-F6D2-4286-86D7-6C9D280A3F9A}"/>
    <cellStyle name="Komma 4" xfId="6" xr:uid="{4DB08F26-C128-4AE1-A7CC-D65A1CEEC101}"/>
    <cellStyle name="Komma 5" xfId="8" xr:uid="{9B45351C-C1DD-4151-8FAF-73513541E2E5}"/>
    <cellStyle name="Komma 6" xfId="10" xr:uid="{C498F6D0-9533-499D-A2FC-E3CCD7BFF6C0}"/>
    <cellStyle name="Komma 7" xfId="12" xr:uid="{3DA6D3D0-0FCA-4DE5-9F7B-BD29D8AAA8E3}"/>
    <cellStyle name="Komma 8" xfId="14" xr:uid="{644426C9-DB5B-4671-9038-3B468D2BDF2F}"/>
    <cellStyle name="Komma 9" xfId="16" xr:uid="{5ABDD902-1036-498B-9233-347346EDCFCD}"/>
    <cellStyle name="Normal" xfId="0" builtinId="0"/>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104775</xdr:colOff>
      <xdr:row>5</xdr:row>
      <xdr:rowOff>171450</xdr:rowOff>
    </xdr:from>
    <xdr:ext cx="6457950" cy="380361"/>
    <mc:AlternateContent xmlns:mc="http://schemas.openxmlformats.org/markup-compatibility/2006" xmlns:a14="http://schemas.microsoft.com/office/drawing/2010/main">
      <mc:Choice Requires="a14">
        <xdr:sp macro="" textlink="">
          <xdr:nvSpPr>
            <xdr:cNvPr id="2" name="Tekstfelt 1">
              <a:extLst>
                <a:ext uri="{FF2B5EF4-FFF2-40B4-BE49-F238E27FC236}">
                  <a16:creationId xmlns:a16="http://schemas.microsoft.com/office/drawing/2014/main" id="{19BBA860-116A-4915-B16E-A19BD8F56EDF}"/>
                </a:ext>
              </a:extLst>
            </xdr:cNvPr>
            <xdr:cNvSpPr txBox="1"/>
          </xdr:nvSpPr>
          <xdr:spPr>
            <a:xfrm>
              <a:off x="1323975" y="1076325"/>
              <a:ext cx="645795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a-DK" sz="1100" b="0" i="1">
                        <a:latin typeface="Cambria Math" panose="02040503050406030204" pitchFamily="18" charset="0"/>
                      </a:rPr>
                      <m:t>𝐶𝑎𝑡𝑐h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r>
                      <a:rPr lang="da-DK" sz="1100" b="0" i="1">
                        <a:latin typeface="Cambria Math" panose="02040503050406030204" pitchFamily="18" charset="0"/>
                      </a:rPr>
                      <m:t>∗</m:t>
                    </m:r>
                    <m:d>
                      <m:dPr>
                        <m:ctrlPr>
                          <a:rPr lang="da-DK" sz="1100" b="0" i="1">
                            <a:latin typeface="Cambria Math" panose="02040503050406030204" pitchFamily="18" charset="0"/>
                          </a:rPr>
                        </m:ctrlPr>
                      </m:dPr>
                      <m:e>
                        <m:f>
                          <m:fPr>
                            <m:ctrlPr>
                              <a:rPr lang="da-DK" sz="1100" b="0" i="1">
                                <a:latin typeface="Cambria Math" panose="02040503050406030204" pitchFamily="18" charset="0"/>
                              </a:rPr>
                            </m:ctrlPr>
                          </m:fPr>
                          <m:num>
                            <m:r>
                              <a:rPr lang="da-DK" sz="1100" b="0" i="1">
                                <a:latin typeface="Cambria Math" panose="02040503050406030204" pitchFamily="18" charset="0"/>
                              </a:rPr>
                              <m:t>𝑐𝑎𝑟𝑟𝑦</m:t>
                            </m:r>
                          </m:num>
                          <m:den>
                            <m:d>
                              <m:dPr>
                                <m:ctrlPr>
                                  <a:rPr lang="da-DK" sz="1100" b="0" i="1">
                                    <a:latin typeface="Cambria Math" panose="02040503050406030204" pitchFamily="18" charset="0"/>
                                  </a:rPr>
                                </m:ctrlPr>
                              </m:dPr>
                              <m:e>
                                <m:r>
                                  <a:rPr lang="da-DK" sz="1100" b="0" i="1">
                                    <a:latin typeface="Cambria Math" panose="02040503050406030204" pitchFamily="18" charset="0"/>
                                  </a:rPr>
                                  <m:t>1−</m:t>
                                </m:r>
                                <m:r>
                                  <a:rPr lang="da-DK" sz="1100" b="0" i="1">
                                    <a:latin typeface="Cambria Math" panose="02040503050406030204" pitchFamily="18" charset="0"/>
                                  </a:rPr>
                                  <m:t>𝑐𝑎𝑟𝑟𝑦</m:t>
                                </m:r>
                              </m:e>
                            </m:d>
                            <m:r>
                              <a:rPr lang="da-DK" sz="1100" b="0" i="1">
                                <a:latin typeface="Cambria Math" panose="02040503050406030204" pitchFamily="18" charset="0"/>
                              </a:rPr>
                              <m:t>∗</m:t>
                            </m:r>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den>
                        </m:f>
                      </m:e>
                    </m:d>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oMath>
                </m:oMathPara>
              </a14:m>
              <a:endParaRPr lang="da-DK" sz="1100"/>
            </a:p>
          </xdr:txBody>
        </xdr:sp>
      </mc:Choice>
      <mc:Fallback xmlns="">
        <xdr:sp macro="" textlink="">
          <xdr:nvSpPr>
            <xdr:cNvPr id="2" name="Tekstfelt 1">
              <a:extLst>
                <a:ext uri="{FF2B5EF4-FFF2-40B4-BE49-F238E27FC236}">
                  <a16:creationId xmlns:a16="http://schemas.microsoft.com/office/drawing/2014/main" id="{19BBA860-116A-4915-B16E-A19BD8F56EDF}"/>
                </a:ext>
              </a:extLst>
            </xdr:cNvPr>
            <xdr:cNvSpPr txBox="1"/>
          </xdr:nvSpPr>
          <xdr:spPr>
            <a:xfrm>
              <a:off x="1323975" y="1076325"/>
              <a:ext cx="645795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a-DK" sz="1100" b="0" i="0">
                  <a:latin typeface="Cambria Math" panose="02040503050406030204" pitchFamily="18" charset="0"/>
                </a:rPr>
                <a:t>𝐶𝑎𝑡𝑐ℎ−𝑢𝑝 𝑟𝑎𝑡𝑖𝑜 (𝑢𝑝𝑝𝑒𝑟 𝑖𝑛𝑡𝑒𝑟𝑣𝑎𝑙)=ℎ𝑢𝑟𝑑𝑙𝑒 𝑟𝑎𝑡𝑒∗(𝑐𝑎𝑟𝑟𝑦/((1−𝑐𝑎𝑟𝑟𝑦)∗𝑐𝑎𝑡𝑐ℎ−𝑢𝑝 𝑟𝑎𝑡𝑖𝑜))+ℎ𝑢𝑟𝑑𝑙𝑒 𝑟𝑎𝑡𝑒</a:t>
              </a:r>
              <a:endParaRPr lang="da-DK" sz="1100"/>
            </a:p>
          </xdr:txBody>
        </xdr:sp>
      </mc:Fallback>
    </mc:AlternateContent>
    <xdr:clientData/>
  </xdr:oneCellAnchor>
  <xdr:oneCellAnchor>
    <xdr:from>
      <xdr:col>1</xdr:col>
      <xdr:colOff>438150</xdr:colOff>
      <xdr:row>10</xdr:row>
      <xdr:rowOff>123825</xdr:rowOff>
    </xdr:from>
    <xdr:ext cx="15516225" cy="380361"/>
    <mc:AlternateContent xmlns:mc="http://schemas.openxmlformats.org/markup-compatibility/2006" xmlns:a14="http://schemas.microsoft.com/office/drawing/2010/main">
      <mc:Choice Requires="a14">
        <xdr:sp macro="" textlink="">
          <xdr:nvSpPr>
            <xdr:cNvPr id="3" name="Tekstfelt 2">
              <a:extLst>
                <a:ext uri="{FF2B5EF4-FFF2-40B4-BE49-F238E27FC236}">
                  <a16:creationId xmlns:a16="http://schemas.microsoft.com/office/drawing/2014/main" id="{42E1E559-6FF1-4760-8D21-8988BDDDCF40}"/>
                </a:ext>
              </a:extLst>
            </xdr:cNvPr>
            <xdr:cNvSpPr txBox="1"/>
          </xdr:nvSpPr>
          <xdr:spPr>
            <a:xfrm>
              <a:off x="1047750" y="1933575"/>
              <a:ext cx="1551622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a-DK" sz="1100" b="0" i="1">
                        <a:latin typeface="Cambria Math" panose="02040503050406030204" pitchFamily="18" charset="0"/>
                      </a:rPr>
                      <m:t>𝑃𝑒𝑟𝑓𝑜𝑟𝑚𝑎𝑛𝑐𝑒</m:t>
                    </m:r>
                    <m:r>
                      <a:rPr lang="da-DK" sz="1100" b="0" i="1">
                        <a:latin typeface="Cambria Math" panose="02040503050406030204" pitchFamily="18" charset="0"/>
                      </a:rPr>
                      <m:t> </m:t>
                    </m:r>
                    <m:r>
                      <a:rPr lang="da-DK" sz="1100" b="0" i="1">
                        <a:latin typeface="Cambria Math" panose="02040503050406030204" pitchFamily="18" charset="0"/>
                      </a:rPr>
                      <m:t>𝑓𝑒𝑒</m:t>
                    </m:r>
                    <m:r>
                      <a:rPr lang="da-DK" sz="1100" b="0" i="1">
                        <a:latin typeface="Cambria Math" panose="02040503050406030204" pitchFamily="18" charset="0"/>
                      </a:rPr>
                      <m:t> </m:t>
                    </m:r>
                    <m:r>
                      <a:rPr lang="da-DK" sz="1100" b="0" i="1">
                        <a:latin typeface="Cambria Math" panose="02040503050406030204" pitchFamily="18" charset="0"/>
                      </a:rPr>
                      <m:t>𝑘𝑎𝑝𝑖𝑡𝑎𝑙</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&gt;</m:t>
                        </m:r>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d>
                      <m:dPr>
                        <m:ctrlPr>
                          <a:rPr lang="da-DK" sz="1100" b="0" i="1">
                            <a:latin typeface="Cambria Math" panose="02040503050406030204" pitchFamily="18" charset="0"/>
                          </a:rPr>
                        </m:ctrlPr>
                      </m:dPr>
                      <m:e>
                        <m:f>
                          <m:fPr>
                            <m:ctrlPr>
                              <a:rPr lang="da-DK" sz="1100" b="0" i="1">
                                <a:latin typeface="Cambria Math" panose="02040503050406030204" pitchFamily="18" charset="0"/>
                              </a:rPr>
                            </m:ctrlPr>
                          </m:fPr>
                          <m:num>
                            <m:r>
                              <a:rPr lang="da-DK" sz="1100" b="0" i="1">
                                <a:latin typeface="Cambria Math" panose="02040503050406030204" pitchFamily="18" charset="0"/>
                              </a:rPr>
                              <m:t>𝑠𝑢𝑚</m:t>
                            </m:r>
                            <m:r>
                              <a:rPr lang="da-DK" sz="1100" b="0" i="1">
                                <a:latin typeface="Cambria Math" panose="02040503050406030204" pitchFamily="18" charset="0"/>
                              </a:rPr>
                              <m:t> </m:t>
                            </m:r>
                            <m:r>
                              <a:rPr lang="da-DK" sz="1100" b="0" i="1">
                                <a:latin typeface="Cambria Math" panose="02040503050406030204" pitchFamily="18" charset="0"/>
                              </a:rPr>
                              <m:t>𝑎𝑓</m:t>
                            </m:r>
                            <m:r>
                              <a:rPr lang="da-DK" sz="1100" b="0" i="1">
                                <a:latin typeface="Cambria Math" panose="02040503050406030204" pitchFamily="18" charset="0"/>
                              </a:rPr>
                              <m:t> </m:t>
                            </m:r>
                            <m:r>
                              <a:rPr lang="da-DK" sz="1100" b="0" i="1">
                                <a:latin typeface="Cambria Math" panose="02040503050406030204" pitchFamily="18" charset="0"/>
                              </a:rPr>
                              <m:t>𝑘𝑎𝑝𝑖𝑡𝑎𝑙</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h𝑜𝑙𝑑𝑖𝑛𝑔</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𝑘𝑎𝑝𝑖𝑡𝑎𝑙</m:t>
                            </m:r>
                          </m:num>
                          <m:den>
                            <m:r>
                              <a:rPr lang="da-DK" sz="1100" b="0" i="1">
                                <a:latin typeface="Cambria Math" panose="02040503050406030204" pitchFamily="18" charset="0"/>
                              </a:rPr>
                              <m:t>𝑎𝑛𝑡𝑎𝑙</m:t>
                            </m:r>
                            <m:r>
                              <a:rPr lang="da-DK" sz="1100" b="0" i="1">
                                <a:latin typeface="Cambria Math" panose="02040503050406030204" pitchFamily="18" charset="0"/>
                              </a:rPr>
                              <m:t> å</m:t>
                            </m:r>
                            <m:r>
                              <a:rPr lang="da-DK" sz="1100" b="0" i="1">
                                <a:latin typeface="Cambria Math" panose="02040503050406030204" pitchFamily="18" charset="0"/>
                              </a:rPr>
                              <m:t>𝑟</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h𝑜𝑙𝑑𝑖𝑛𝑔</m:t>
                            </m:r>
                          </m:den>
                        </m:f>
                      </m:e>
                    </m:d>
                    <m:r>
                      <a:rPr lang="da-DK" sz="1100" b="0" i="1">
                        <a:latin typeface="Cambria Math" panose="02040503050406030204" pitchFamily="18" charset="0"/>
                      </a:rPr>
                      <m:t>∗(</m:t>
                    </m:r>
                    <m:d>
                      <m:dPr>
                        <m:ctrlPr>
                          <a:rPr lang="da-DK" sz="1100" b="0" i="1">
                            <a:latin typeface="Cambria Math" panose="02040503050406030204" pitchFamily="18" charset="0"/>
                          </a:rPr>
                        </m:ctrlPr>
                      </m:dPr>
                      <m:e>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d>
                          <m:dPr>
                            <m:ctrlPr>
                              <a:rPr lang="da-DK" sz="1100" b="0" i="1">
                                <a:latin typeface="Cambria Math" panose="02040503050406030204" pitchFamily="18" charset="0"/>
                              </a:rPr>
                            </m:ctrlPr>
                          </m:dPr>
                          <m:e>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e>
                    </m:d>
                    <m:r>
                      <a:rPr lang="da-DK" sz="1100" b="0" i="1">
                        <a:latin typeface="Cambria Math" panose="02040503050406030204" pitchFamily="18" charset="0"/>
                      </a:rPr>
                      <m:t>∗</m:t>
                    </m:r>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m:t>
                    </m:r>
                    <m:r>
                      <a:rPr lang="da-DK" sz="1100" b="0" i="1">
                        <a:latin typeface="Cambria Math" panose="02040503050406030204" pitchFamily="18" charset="0"/>
                      </a:rPr>
                      <m:t>𝑐𝑎𝑡𝑢𝑝</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r>
                      <a:rPr lang="da-DK" sz="1100" b="0" i="1">
                        <a:latin typeface="Cambria Math" panose="02040503050406030204" pitchFamily="18" charset="0"/>
                      </a:rPr>
                      <m:t>𝑐𝑎𝑟𝑟𝑦</m:t>
                    </m:r>
                    <m:r>
                      <a:rPr lang="da-DK" sz="1100" b="0" i="1">
                        <a:latin typeface="Cambria Math" panose="02040503050406030204" pitchFamily="18" charset="0"/>
                      </a:rPr>
                      <m:t>)</m:t>
                    </m:r>
                  </m:oMath>
                </m:oMathPara>
              </a14:m>
              <a:endParaRPr lang="da-DK" sz="1100"/>
            </a:p>
          </xdr:txBody>
        </xdr:sp>
      </mc:Choice>
      <mc:Fallback xmlns="">
        <xdr:sp macro="" textlink="">
          <xdr:nvSpPr>
            <xdr:cNvPr id="3" name="Tekstfelt 2">
              <a:extLst>
                <a:ext uri="{FF2B5EF4-FFF2-40B4-BE49-F238E27FC236}">
                  <a16:creationId xmlns:a16="http://schemas.microsoft.com/office/drawing/2014/main" id="{42E1E559-6FF1-4760-8D21-8988BDDDCF40}"/>
                </a:ext>
              </a:extLst>
            </xdr:cNvPr>
            <xdr:cNvSpPr txBox="1"/>
          </xdr:nvSpPr>
          <xdr:spPr>
            <a:xfrm>
              <a:off x="1047750" y="1933575"/>
              <a:ext cx="1551622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a-DK" sz="1100" b="0" i="0">
                  <a:latin typeface="Cambria Math" panose="02040503050406030204" pitchFamily="18" charset="0"/>
                </a:rPr>
                <a:t>𝑃𝑒𝑟𝑓𝑜𝑟𝑚𝑎𝑛𝑐𝑒 𝑓𝑒𝑒 𝑘𝑎𝑝𝑖𝑡𝑎𝑙 (å𝑟𝑙𝑖𝑔𝑡 𝑎𝑓𝑘𝑎𝑠𝑡&gt;𝑢𝑝𝑝𝑒𝑟 𝑖𝑛𝑡𝑒𝑟𝑣𝑎𝑙)=((𝑠𝑢𝑚 𝑎𝑓 𝑘𝑎𝑝𝑖𝑡𝑎𝑙 𝑖 ℎ𝑜𝑙𝑑𝑖𝑛𝑔 𝑖 %∗𝑘𝑎𝑝𝑖𝑡𝑎𝑙)/(𝑎𝑛𝑡𝑎𝑙 å𝑟 𝑖 ℎ𝑜𝑙𝑑𝑖𝑛𝑔))∗((𝑐𝑎𝑡𝑐ℎ−𝑢𝑝 𝑟𝑎𝑡𝑖𝑜(𝑢𝑝𝑝𝑒𝑟 𝑖𝑛𝑡𝑒𝑟𝑣𝑎𝑙)−ℎ𝑢𝑟𝑑𝑙𝑒 𝑟𝑎𝑡𝑒)∗𝑐𝑎𝑡𝑐ℎ−𝑢𝑝 𝑟𝑎𝑡𝑖𝑜)+((å𝑟𝑙𝑖𝑔𝑡 𝑎𝑓𝑘𝑎𝑠𝑡−𝑐𝑎𝑡𝑢𝑝−𝑢𝑝 𝑟𝑎𝑡𝑖𝑜 (𝑢𝑝𝑝𝑒𝑟 𝑖𝑛𝑡𝑒𝑟𝑣𝑎𝑙))∗𝑐𝑎𝑟𝑟𝑦)</a:t>
              </a:r>
              <a:endParaRPr lang="da-DK" sz="1100"/>
            </a:p>
          </xdr:txBody>
        </xdr:sp>
      </mc:Fallback>
    </mc:AlternateContent>
    <xdr:clientData/>
  </xdr:oneCellAnchor>
  <xdr:oneCellAnchor>
    <xdr:from>
      <xdr:col>0</xdr:col>
      <xdr:colOff>428625</xdr:colOff>
      <xdr:row>15</xdr:row>
      <xdr:rowOff>85725</xdr:rowOff>
    </xdr:from>
    <xdr:ext cx="11534775" cy="380361"/>
    <mc:AlternateContent xmlns:mc="http://schemas.openxmlformats.org/markup-compatibility/2006" xmlns:a14="http://schemas.microsoft.com/office/drawing/2010/main">
      <mc:Choice Requires="a14">
        <xdr:sp macro="" textlink="">
          <xdr:nvSpPr>
            <xdr:cNvPr id="4" name="Tekstfelt 3">
              <a:extLst>
                <a:ext uri="{FF2B5EF4-FFF2-40B4-BE49-F238E27FC236}">
                  <a16:creationId xmlns:a16="http://schemas.microsoft.com/office/drawing/2014/main" id="{179C7753-236E-4948-87D4-896F3EE53D28}"/>
                </a:ext>
              </a:extLst>
            </xdr:cNvPr>
            <xdr:cNvSpPr txBox="1"/>
          </xdr:nvSpPr>
          <xdr:spPr>
            <a:xfrm>
              <a:off x="428625" y="2800350"/>
              <a:ext cx="1153477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a-DK" sz="1100" b="0" i="1">
                        <a:latin typeface="Cambria Math" panose="02040503050406030204" pitchFamily="18" charset="0"/>
                      </a:rPr>
                      <m:t>𝑃𝑒𝑟𝑓𝑜𝑟𝑚𝑎𝑛𝑐𝑒</m:t>
                    </m:r>
                    <m:r>
                      <a:rPr lang="da-DK" sz="1100" b="0" i="1">
                        <a:latin typeface="Cambria Math" panose="02040503050406030204" pitchFamily="18" charset="0"/>
                      </a:rPr>
                      <m:t> </m:t>
                    </m:r>
                    <m:r>
                      <a:rPr lang="da-DK" sz="1100" b="0" i="1">
                        <a:latin typeface="Cambria Math" panose="02040503050406030204" pitchFamily="18" charset="0"/>
                      </a:rPr>
                      <m:t>𝑓𝑒𝑒</m:t>
                    </m:r>
                    <m:r>
                      <a:rPr lang="da-DK" sz="1100" b="0" i="1">
                        <a:latin typeface="Cambria Math" panose="02040503050406030204" pitchFamily="18" charset="0"/>
                      </a:rPr>
                      <m:t> </m:t>
                    </m:r>
                    <m:r>
                      <a:rPr lang="da-DK" sz="1100" b="0" i="1">
                        <a:latin typeface="Cambria Math" panose="02040503050406030204" pitchFamily="18" charset="0"/>
                      </a:rPr>
                      <m:t>𝑘𝑎𝑝𝑖𝑡𝑎𝑙</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&lt;</m:t>
                        </m:r>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d>
                      <m:dPr>
                        <m:ctrlPr>
                          <a:rPr lang="da-DK" sz="1100" b="0" i="1">
                            <a:latin typeface="Cambria Math" panose="02040503050406030204" pitchFamily="18" charset="0"/>
                          </a:rPr>
                        </m:ctrlPr>
                      </m:dPr>
                      <m:e>
                        <m:f>
                          <m:fPr>
                            <m:ctrlPr>
                              <a:rPr lang="da-DK" sz="1100" b="0" i="1">
                                <a:latin typeface="Cambria Math" panose="02040503050406030204" pitchFamily="18" charset="0"/>
                              </a:rPr>
                            </m:ctrlPr>
                          </m:fPr>
                          <m:num>
                            <m:r>
                              <a:rPr lang="da-DK" sz="1100" b="0" i="1">
                                <a:latin typeface="Cambria Math" panose="02040503050406030204" pitchFamily="18" charset="0"/>
                              </a:rPr>
                              <m:t>𝑠𝑢𝑚</m:t>
                            </m:r>
                            <m:r>
                              <a:rPr lang="da-DK" sz="1100" b="0" i="1">
                                <a:latin typeface="Cambria Math" panose="02040503050406030204" pitchFamily="18" charset="0"/>
                              </a:rPr>
                              <m:t> </m:t>
                            </m:r>
                            <m:r>
                              <a:rPr lang="da-DK" sz="1100" b="0" i="1">
                                <a:latin typeface="Cambria Math" panose="02040503050406030204" pitchFamily="18" charset="0"/>
                              </a:rPr>
                              <m:t>𝑎𝑓</m:t>
                            </m:r>
                            <m:r>
                              <a:rPr lang="da-DK" sz="1100" b="0" i="1">
                                <a:latin typeface="Cambria Math" panose="02040503050406030204" pitchFamily="18" charset="0"/>
                              </a:rPr>
                              <m:t> </m:t>
                            </m:r>
                            <m:r>
                              <a:rPr lang="da-DK" sz="1100" b="0" i="1">
                                <a:latin typeface="Cambria Math" panose="02040503050406030204" pitchFamily="18" charset="0"/>
                              </a:rPr>
                              <m:t>𝑘𝑎𝑝𝑖𝑡𝑎𝑙</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h𝑜𝑙𝑑𝑖𝑛𝑔</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𝑘𝑎𝑝𝑖𝑡𝑎𝑙</m:t>
                            </m:r>
                          </m:num>
                          <m:den>
                            <m:r>
                              <a:rPr lang="da-DK" sz="1100" b="0" i="1">
                                <a:latin typeface="Cambria Math" panose="02040503050406030204" pitchFamily="18" charset="0"/>
                              </a:rPr>
                              <m:t>𝑎𝑛𝑡𝑎𝑙</m:t>
                            </m:r>
                            <m:r>
                              <a:rPr lang="da-DK" sz="1100" b="0" i="1">
                                <a:latin typeface="Cambria Math" panose="02040503050406030204" pitchFamily="18" charset="0"/>
                              </a:rPr>
                              <m:t> å</m:t>
                            </m:r>
                            <m:r>
                              <a:rPr lang="da-DK" sz="1100" b="0" i="1">
                                <a:latin typeface="Cambria Math" panose="02040503050406030204" pitchFamily="18" charset="0"/>
                              </a:rPr>
                              <m:t>𝑟</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m:t>
                            </m:r>
                            <m:r>
                              <a:rPr lang="da-DK" sz="1100" b="0" i="1">
                                <a:latin typeface="Cambria Math" panose="02040503050406030204" pitchFamily="18" charset="0"/>
                              </a:rPr>
                              <m:t>h𝑜𝑙𝑑𝑖𝑛𝑔</m:t>
                            </m:r>
                          </m:den>
                        </m:f>
                      </m:e>
                    </m:d>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r>
                      <a:rPr lang="da-DK" sz="1100" b="0" i="1">
                        <a:latin typeface="Cambria Math" panose="02040503050406030204" pitchFamily="18" charset="0"/>
                      </a:rPr>
                      <m:t>)∗</m:t>
                    </m:r>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m:t>
                    </m:r>
                  </m:oMath>
                </m:oMathPara>
              </a14:m>
              <a:endParaRPr lang="da-DK" sz="1100"/>
            </a:p>
          </xdr:txBody>
        </xdr:sp>
      </mc:Choice>
      <mc:Fallback xmlns="">
        <xdr:sp macro="" textlink="">
          <xdr:nvSpPr>
            <xdr:cNvPr id="4" name="Tekstfelt 3">
              <a:extLst>
                <a:ext uri="{FF2B5EF4-FFF2-40B4-BE49-F238E27FC236}">
                  <a16:creationId xmlns:a16="http://schemas.microsoft.com/office/drawing/2014/main" id="{179C7753-236E-4948-87D4-896F3EE53D28}"/>
                </a:ext>
              </a:extLst>
            </xdr:cNvPr>
            <xdr:cNvSpPr txBox="1"/>
          </xdr:nvSpPr>
          <xdr:spPr>
            <a:xfrm>
              <a:off x="428625" y="2800350"/>
              <a:ext cx="1153477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a-DK" sz="1100" b="0" i="0">
                  <a:latin typeface="Cambria Math" panose="02040503050406030204" pitchFamily="18" charset="0"/>
                </a:rPr>
                <a:t>𝑃𝑒𝑟𝑓𝑜𝑟𝑚𝑎𝑛𝑐𝑒 𝑓𝑒𝑒 𝑘𝑎𝑝𝑖𝑡𝑎𝑙 (å𝑟𝑙𝑖𝑔𝑡 𝑎𝑓𝑘𝑎𝑠𝑡&lt;𝑢𝑝𝑝𝑒𝑟 𝑖𝑛𝑡𝑒𝑟𝑣𝑎𝑙)=((𝑠𝑢𝑚 𝑎𝑓 𝑘𝑎𝑝𝑖𝑡𝑎𝑙 𝑖 ℎ𝑜𝑙𝑑𝑖𝑛𝑔 𝑖 %∗𝑘𝑎𝑝𝑖𝑡𝑎𝑙)/(𝑎𝑛𝑡𝑎𝑙 å𝑟 𝑖 ℎ𝑜𝑙𝑑𝑖𝑛𝑔))∗((å𝑟𝑙𝑖𝑔𝑡 𝑎𝑓𝑘𝑎𝑠𝑡−ℎ𝑢𝑟𝑑𝑙𝑒 𝑟𝑎𝑡𝑒)∗𝑐𝑎𝑡𝑐ℎ−𝑢𝑝 𝑟𝑎𝑡𝑖𝑜)</a:t>
              </a:r>
              <a:endParaRPr lang="da-DK" sz="1100"/>
            </a:p>
          </xdr:txBody>
        </xdr:sp>
      </mc:Fallback>
    </mc:AlternateContent>
    <xdr:clientData/>
  </xdr:oneCellAnchor>
  <xdr:oneCellAnchor>
    <xdr:from>
      <xdr:col>1</xdr:col>
      <xdr:colOff>209550</xdr:colOff>
      <xdr:row>20</xdr:row>
      <xdr:rowOff>47625</xdr:rowOff>
    </xdr:from>
    <xdr:ext cx="12353925" cy="172227"/>
    <mc:AlternateContent xmlns:mc="http://schemas.openxmlformats.org/markup-compatibility/2006" xmlns:a14="http://schemas.microsoft.com/office/drawing/2010/main">
      <mc:Choice Requires="a14">
        <xdr:sp macro="" textlink="">
          <xdr:nvSpPr>
            <xdr:cNvPr id="5" name="Tekstfelt 4">
              <a:extLst>
                <a:ext uri="{FF2B5EF4-FFF2-40B4-BE49-F238E27FC236}">
                  <a16:creationId xmlns:a16="http://schemas.microsoft.com/office/drawing/2014/main" id="{092B0AB9-1CDE-42AF-AE98-36E9B40EA6CF}"/>
                </a:ext>
              </a:extLst>
            </xdr:cNvPr>
            <xdr:cNvSpPr txBox="1"/>
          </xdr:nvSpPr>
          <xdr:spPr>
            <a:xfrm>
              <a:off x="819150" y="3667125"/>
              <a:ext cx="123539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a-DK" sz="1100" b="0" i="1">
                        <a:latin typeface="Cambria Math" panose="02040503050406030204" pitchFamily="18" charset="0"/>
                      </a:rPr>
                      <m:t>𝑃𝑒𝑟𝑓𝑜𝑟𝑚𝑎𝑛𝑐𝑒</m:t>
                    </m:r>
                    <m:r>
                      <a:rPr lang="da-DK" sz="1100" b="0" i="1">
                        <a:latin typeface="Cambria Math" panose="02040503050406030204" pitchFamily="18" charset="0"/>
                      </a:rPr>
                      <m:t> </m:t>
                    </m:r>
                    <m:r>
                      <a:rPr lang="da-DK" sz="1100" b="0" i="1">
                        <a:latin typeface="Cambria Math" panose="02040503050406030204" pitchFamily="18" charset="0"/>
                      </a:rPr>
                      <m:t>𝑓𝑒𝑒</m:t>
                    </m:r>
                    <m:r>
                      <a:rPr lang="da-DK" sz="1100" b="0" i="1">
                        <a:latin typeface="Cambria Math" panose="02040503050406030204" pitchFamily="18" charset="0"/>
                      </a:rPr>
                      <m:t> </m:t>
                    </m:r>
                    <m:r>
                      <a:rPr lang="da-DK" sz="1100" b="0" i="1">
                        <a:latin typeface="Cambria Math" panose="02040503050406030204" pitchFamily="18" charset="0"/>
                      </a:rPr>
                      <m:t>𝑖</m:t>
                    </m:r>
                    <m:r>
                      <a:rPr lang="da-DK" sz="1100" b="0" i="1">
                        <a:latin typeface="Cambria Math" panose="02040503050406030204" pitchFamily="18" charset="0"/>
                      </a:rPr>
                      <m:t> % </m:t>
                    </m:r>
                    <m:d>
                      <m:dPr>
                        <m:ctrlPr>
                          <a:rPr lang="da-DK" sz="1100" b="0" i="1">
                            <a:latin typeface="Cambria Math" panose="02040503050406030204" pitchFamily="18" charset="0"/>
                          </a:rPr>
                        </m:ctrlPr>
                      </m:dPr>
                      <m:e>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&gt;</m:t>
                        </m:r>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d>
                      <m:dPr>
                        <m:ctrlPr>
                          <a:rPr lang="da-DK" sz="1100" b="0" i="1">
                            <a:latin typeface="Cambria Math" panose="02040503050406030204" pitchFamily="18" charset="0"/>
                          </a:rPr>
                        </m:ctrlPr>
                      </m:dPr>
                      <m:e>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d>
                          <m:dPr>
                            <m:ctrlPr>
                              <a:rPr lang="da-DK" sz="1100" b="0" i="1">
                                <a:latin typeface="Cambria Math" panose="02040503050406030204" pitchFamily="18" charset="0"/>
                              </a:rPr>
                            </m:ctrlPr>
                          </m:dPr>
                          <m:e>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e>
                    </m:d>
                    <m:r>
                      <a:rPr lang="da-DK" sz="1100" b="0" i="1">
                        <a:latin typeface="Cambria Math" panose="02040503050406030204" pitchFamily="18" charset="0"/>
                      </a:rPr>
                      <m:t>∗</m:t>
                    </m:r>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m:t>
                    </m:r>
                    <m:r>
                      <a:rPr lang="da-DK" sz="1100" b="0" i="1">
                        <a:latin typeface="Cambria Math" panose="02040503050406030204" pitchFamily="18" charset="0"/>
                      </a:rPr>
                      <m:t>𝑐𝑎𝑡𝑢𝑝</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m:t>
                    </m:r>
                    <m:r>
                      <a:rPr lang="da-DK" sz="1100" b="0" i="1">
                        <a:latin typeface="Cambria Math" panose="02040503050406030204" pitchFamily="18" charset="0"/>
                      </a:rPr>
                      <m:t>𝑐𝑎𝑟𝑟𝑦</m:t>
                    </m:r>
                    <m:r>
                      <a:rPr lang="da-DK" sz="1100" b="0" i="1">
                        <a:latin typeface="Cambria Math" panose="02040503050406030204" pitchFamily="18" charset="0"/>
                      </a:rPr>
                      <m:t>)</m:t>
                    </m:r>
                  </m:oMath>
                </m:oMathPara>
              </a14:m>
              <a:endParaRPr lang="da-DK" sz="1100"/>
            </a:p>
          </xdr:txBody>
        </xdr:sp>
      </mc:Choice>
      <mc:Fallback xmlns="">
        <xdr:sp macro="" textlink="">
          <xdr:nvSpPr>
            <xdr:cNvPr id="5" name="Tekstfelt 4">
              <a:extLst>
                <a:ext uri="{FF2B5EF4-FFF2-40B4-BE49-F238E27FC236}">
                  <a16:creationId xmlns:a16="http://schemas.microsoft.com/office/drawing/2014/main" id="{092B0AB9-1CDE-42AF-AE98-36E9B40EA6CF}"/>
                </a:ext>
              </a:extLst>
            </xdr:cNvPr>
            <xdr:cNvSpPr txBox="1"/>
          </xdr:nvSpPr>
          <xdr:spPr>
            <a:xfrm>
              <a:off x="819150" y="3667125"/>
              <a:ext cx="123539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a-DK" sz="1100" b="0" i="0">
                  <a:latin typeface="Cambria Math" panose="02040503050406030204" pitchFamily="18" charset="0"/>
                </a:rPr>
                <a:t>𝑃𝑒𝑟𝑓𝑜𝑟𝑚𝑎𝑛𝑐𝑒 𝑓𝑒𝑒 𝑖 % (å𝑟𝑙𝑖𝑔𝑡 𝑎𝑓𝑘𝑎𝑠𝑡&gt;𝑢𝑝𝑝𝑒𝑟 𝑖𝑛𝑡𝑒𝑟𝑣𝑎𝑙)=((𝑐𝑎𝑡𝑐ℎ−𝑢𝑝 𝑟𝑎𝑡𝑖𝑜(𝑢𝑝𝑝𝑒𝑟 𝑖𝑛𝑡𝑒𝑟𝑣𝑎𝑙)−ℎ𝑢𝑟𝑑𝑙𝑒 𝑟𝑎𝑡𝑒)∗𝑐𝑎𝑡𝑐ℎ−𝑢𝑝 𝑟𝑎𝑡𝑖𝑜)+((å𝑟𝑙𝑖𝑔𝑡 𝑎𝑓𝑘𝑎𝑠𝑡−𝑐𝑎𝑡𝑢𝑝−𝑢𝑝 𝑟𝑎𝑡𝑖𝑜 (𝑢𝑝𝑝𝑒𝑟 𝑖𝑛𝑡𝑒𝑟𝑣𝑎𝑙))∗𝑐𝑎𝑟𝑟𝑦)</a:t>
              </a:r>
              <a:endParaRPr lang="da-DK" sz="1100"/>
            </a:p>
          </xdr:txBody>
        </xdr:sp>
      </mc:Fallback>
    </mc:AlternateContent>
    <xdr:clientData/>
  </xdr:oneCellAnchor>
  <xdr:oneCellAnchor>
    <xdr:from>
      <xdr:col>1</xdr:col>
      <xdr:colOff>333375</xdr:colOff>
      <xdr:row>24</xdr:row>
      <xdr:rowOff>76200</xdr:rowOff>
    </xdr:from>
    <xdr:ext cx="7705725" cy="172227"/>
    <mc:AlternateContent xmlns:mc="http://schemas.openxmlformats.org/markup-compatibility/2006" xmlns:a14="http://schemas.microsoft.com/office/drawing/2010/main">
      <mc:Choice Requires="a14">
        <xdr:sp macro="" textlink="">
          <xdr:nvSpPr>
            <xdr:cNvPr id="6" name="Tekstfelt 5">
              <a:extLst>
                <a:ext uri="{FF2B5EF4-FFF2-40B4-BE49-F238E27FC236}">
                  <a16:creationId xmlns:a16="http://schemas.microsoft.com/office/drawing/2014/main" id="{1D3167A8-282F-4C9D-9D51-52DEBD8231A2}"/>
                </a:ext>
              </a:extLst>
            </xdr:cNvPr>
            <xdr:cNvSpPr txBox="1"/>
          </xdr:nvSpPr>
          <xdr:spPr>
            <a:xfrm>
              <a:off x="942975" y="4419600"/>
              <a:ext cx="77057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a-DK" sz="1100" b="0" i="1">
                        <a:latin typeface="Cambria Math" panose="02040503050406030204" pitchFamily="18" charset="0"/>
                      </a:rPr>
                      <m:t>𝑃𝑒𝑟𝑓𝑜𝑟𝑚𝑎𝑛𝑐𝑒</m:t>
                    </m:r>
                    <m:r>
                      <a:rPr lang="da-DK" sz="1100" b="0" i="1">
                        <a:latin typeface="Cambria Math" panose="02040503050406030204" pitchFamily="18" charset="0"/>
                      </a:rPr>
                      <m:t> </m:t>
                    </m:r>
                    <m:r>
                      <a:rPr lang="da-DK" sz="1100" b="0" i="1">
                        <a:latin typeface="Cambria Math" panose="02040503050406030204" pitchFamily="18" charset="0"/>
                      </a:rPr>
                      <m:t>𝑓𝑒𝑒</m:t>
                    </m:r>
                    <m:r>
                      <a:rPr lang="da-DK" sz="1100" b="0" i="1">
                        <a:latin typeface="Cambria Math" panose="02040503050406030204" pitchFamily="18" charset="0"/>
                      </a:rPr>
                      <m:t> </m:t>
                    </m:r>
                    <m:r>
                      <a:rPr lang="da-DK" sz="1100" b="0" i="1">
                        <a:latin typeface="Cambria Math" panose="02040503050406030204" pitchFamily="18" charset="0"/>
                      </a:rPr>
                      <m:t>𝑘𝑎𝑝𝑖𝑡𝑎𝑙</m:t>
                    </m:r>
                    <m:r>
                      <a:rPr lang="da-DK" sz="1100" b="0" i="1">
                        <a:latin typeface="Cambria Math" panose="02040503050406030204" pitchFamily="18" charset="0"/>
                      </a:rPr>
                      <m:t> </m:t>
                    </m:r>
                    <m:d>
                      <m:dPr>
                        <m:ctrlPr>
                          <a:rPr lang="da-DK" sz="1100" b="0" i="1">
                            <a:latin typeface="Cambria Math" panose="02040503050406030204" pitchFamily="18" charset="0"/>
                          </a:rPr>
                        </m:ctrlPr>
                      </m:dPr>
                      <m:e>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&lt;</m:t>
                        </m:r>
                        <m:r>
                          <a:rPr lang="da-DK" sz="1100" b="0" i="1">
                            <a:latin typeface="Cambria Math" panose="02040503050406030204" pitchFamily="18" charset="0"/>
                          </a:rPr>
                          <m:t>𝑢𝑝𝑝𝑒𝑟</m:t>
                        </m:r>
                        <m:r>
                          <a:rPr lang="da-DK" sz="1100" b="0" i="1">
                            <a:latin typeface="Cambria Math" panose="02040503050406030204" pitchFamily="18" charset="0"/>
                          </a:rPr>
                          <m:t> </m:t>
                        </m:r>
                        <m:r>
                          <a:rPr lang="da-DK" sz="1100" b="0" i="1">
                            <a:latin typeface="Cambria Math" panose="02040503050406030204" pitchFamily="18" charset="0"/>
                          </a:rPr>
                          <m:t>𝑖𝑛𝑡𝑒𝑟𝑣𝑎𝑙</m:t>
                        </m:r>
                      </m:e>
                    </m:d>
                    <m:r>
                      <a:rPr lang="da-DK" sz="1100" b="0" i="1">
                        <a:latin typeface="Cambria Math" panose="02040503050406030204" pitchFamily="18" charset="0"/>
                      </a:rPr>
                      <m:t>=((å</m:t>
                    </m:r>
                    <m:r>
                      <a:rPr lang="da-DK" sz="1100" b="0" i="1">
                        <a:latin typeface="Cambria Math" panose="02040503050406030204" pitchFamily="18" charset="0"/>
                      </a:rPr>
                      <m:t>𝑟𝑙𝑖𝑔𝑡</m:t>
                    </m:r>
                    <m:r>
                      <a:rPr lang="da-DK" sz="1100" b="0" i="1">
                        <a:latin typeface="Cambria Math" panose="02040503050406030204" pitchFamily="18" charset="0"/>
                      </a:rPr>
                      <m:t> </m:t>
                    </m:r>
                    <m:r>
                      <a:rPr lang="da-DK" sz="1100" b="0" i="1">
                        <a:latin typeface="Cambria Math" panose="02040503050406030204" pitchFamily="18" charset="0"/>
                      </a:rPr>
                      <m:t>𝑎𝑓𝑘𝑎𝑠𝑡</m:t>
                    </m:r>
                    <m:r>
                      <a:rPr lang="da-DK" sz="1100" b="0" i="1">
                        <a:latin typeface="Cambria Math" panose="02040503050406030204" pitchFamily="18" charset="0"/>
                      </a:rPr>
                      <m:t>−</m:t>
                    </m:r>
                    <m:r>
                      <a:rPr lang="da-DK" sz="1100" b="0" i="1">
                        <a:latin typeface="Cambria Math" panose="02040503050406030204" pitchFamily="18" charset="0"/>
                      </a:rPr>
                      <m:t>h𝑢𝑟𝑑𝑙𝑒</m:t>
                    </m:r>
                    <m:r>
                      <a:rPr lang="da-DK" sz="1100" b="0" i="1">
                        <a:latin typeface="Cambria Math" panose="02040503050406030204" pitchFamily="18" charset="0"/>
                      </a:rPr>
                      <m:t> </m:t>
                    </m:r>
                    <m:r>
                      <a:rPr lang="da-DK" sz="1100" b="0" i="1">
                        <a:latin typeface="Cambria Math" panose="02040503050406030204" pitchFamily="18" charset="0"/>
                      </a:rPr>
                      <m:t>𝑟𝑎𝑡𝑒</m:t>
                    </m:r>
                    <m:r>
                      <a:rPr lang="da-DK" sz="1100" b="0" i="1">
                        <a:latin typeface="Cambria Math" panose="02040503050406030204" pitchFamily="18" charset="0"/>
                      </a:rPr>
                      <m:t>)∗</m:t>
                    </m:r>
                    <m:r>
                      <a:rPr lang="da-DK" sz="1100" b="0" i="1">
                        <a:latin typeface="Cambria Math" panose="02040503050406030204" pitchFamily="18" charset="0"/>
                      </a:rPr>
                      <m:t>𝑐𝑎𝑡𝑐h</m:t>
                    </m:r>
                    <m:r>
                      <a:rPr lang="da-DK" sz="1100" b="0" i="1">
                        <a:latin typeface="Cambria Math" panose="02040503050406030204" pitchFamily="18" charset="0"/>
                      </a:rPr>
                      <m:t>−</m:t>
                    </m:r>
                    <m:r>
                      <a:rPr lang="da-DK" sz="1100" b="0" i="1">
                        <a:latin typeface="Cambria Math" panose="02040503050406030204" pitchFamily="18" charset="0"/>
                      </a:rPr>
                      <m:t>𝑢𝑝</m:t>
                    </m:r>
                    <m:r>
                      <a:rPr lang="da-DK" sz="1100" b="0" i="1">
                        <a:latin typeface="Cambria Math" panose="02040503050406030204" pitchFamily="18" charset="0"/>
                      </a:rPr>
                      <m:t> </m:t>
                    </m:r>
                    <m:r>
                      <a:rPr lang="da-DK" sz="1100" b="0" i="1">
                        <a:latin typeface="Cambria Math" panose="02040503050406030204" pitchFamily="18" charset="0"/>
                      </a:rPr>
                      <m:t>𝑟𝑎𝑡𝑖𝑜</m:t>
                    </m:r>
                    <m:r>
                      <a:rPr lang="da-DK" sz="1100" b="0" i="1">
                        <a:latin typeface="Cambria Math" panose="02040503050406030204" pitchFamily="18" charset="0"/>
                      </a:rPr>
                      <m:t>)</m:t>
                    </m:r>
                  </m:oMath>
                </m:oMathPara>
              </a14:m>
              <a:endParaRPr lang="da-DK" sz="1100"/>
            </a:p>
          </xdr:txBody>
        </xdr:sp>
      </mc:Choice>
      <mc:Fallback xmlns="">
        <xdr:sp macro="" textlink="">
          <xdr:nvSpPr>
            <xdr:cNvPr id="6" name="Tekstfelt 5">
              <a:extLst>
                <a:ext uri="{FF2B5EF4-FFF2-40B4-BE49-F238E27FC236}">
                  <a16:creationId xmlns:a16="http://schemas.microsoft.com/office/drawing/2014/main" id="{1D3167A8-282F-4C9D-9D51-52DEBD8231A2}"/>
                </a:ext>
              </a:extLst>
            </xdr:cNvPr>
            <xdr:cNvSpPr txBox="1"/>
          </xdr:nvSpPr>
          <xdr:spPr>
            <a:xfrm>
              <a:off x="942975" y="4419600"/>
              <a:ext cx="770572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a-DK" sz="1100" b="0" i="0">
                  <a:latin typeface="Cambria Math" panose="02040503050406030204" pitchFamily="18" charset="0"/>
                </a:rPr>
                <a:t>𝑃𝑒𝑟𝑓𝑜𝑟𝑚𝑎𝑛𝑐𝑒 𝑓𝑒𝑒 𝑘𝑎𝑝𝑖𝑡𝑎𝑙 (å𝑟𝑙𝑖𝑔𝑡 𝑎𝑓𝑘𝑎𝑠𝑡&lt;𝑢𝑝𝑝𝑒𝑟 𝑖𝑛𝑡𝑒𝑟𝑣𝑎𝑙)=((å𝑟𝑙𝑖𝑔𝑡 𝑎𝑓𝑘𝑎𝑠𝑡−ℎ𝑢𝑟𝑑𝑙𝑒 𝑟𝑎𝑡𝑒)∗𝑐𝑎𝑡𝑐ℎ−𝑢𝑝 𝑟𝑎𝑡𝑖𝑜)</a:t>
              </a:r>
              <a:endParaRPr lang="da-DK"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ublic\Kunder\Eksisterende%20kunder\Forsikring%20og%20Pension\Data\211116%20Omkostningsmodel%20PE%20-%20kroner%20og%20&#248;rer%20eksempel%20-%20v&#230;rdiskabel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 Closed - mutipel"/>
      <sheetName val="PE Closed - performance"/>
      <sheetName val="Tabel"/>
      <sheetName val="VBA kode"/>
      <sheetName val="Liste"/>
      <sheetName val="Sats for VF "/>
    </sheetNames>
    <sheetDataSet>
      <sheetData sheetId="0"/>
      <sheetData sheetId="1"/>
      <sheetData sheetId="2"/>
      <sheetData sheetId="3"/>
      <sheetData sheetId="4">
        <row r="24">
          <cell r="C24" t="str">
            <v>Private Equity</v>
          </cell>
        </row>
      </sheetData>
      <sheetData sheetId="5">
        <row r="20">
          <cell r="J20">
            <v>0.9</v>
          </cell>
          <cell r="U20">
            <v>0.9</v>
          </cell>
        </row>
        <row r="21">
          <cell r="J21">
            <v>15</v>
          </cell>
          <cell r="U21">
            <v>15</v>
          </cell>
        </row>
      </sheetData>
    </sheetDataSet>
  </externalBook>
</externalLink>
</file>

<file path=xl/persons/person.xml><?xml version="1.0" encoding="utf-8"?>
<personList xmlns="http://schemas.microsoft.com/office/spreadsheetml/2018/threadedcomments" xmlns:x="http://schemas.openxmlformats.org/spreadsheetml/2006/main">
  <person displayName="Morten Lassen" id="{F2735DD2-069A-4332-BAAD-4D8378C80D44}" userId="S::ml@kirstein.as::ed4f50ed-a71a-4f45-8958-fedb39263464" providerId="AD"/>
</personList>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7" dT="2021-11-08T14:32:48.35" personId="{F2735DD2-069A-4332-BAAD-4D8378C80D44}" id="{53EF282C-F744-41A5-9712-FC7132117186}">
    <text>Grundlaget bliver beregnet anderledes end for de andre</text>
  </threadedComment>
  <threadedComment ref="A72" dT="2021-11-08T14:31:00.70" personId="{F2735DD2-069A-4332-BAAD-4D8378C80D44}" id="{1754EC6E-6482-4B3C-B72B-949D436630EF}">
    <text>Grundlaget bliver beregnet anderledes sammenlignet med de andre</text>
  </threadedComment>
</ThreadedComment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70DB-6939-4D83-8C23-EB36425F9786}">
  <sheetPr>
    <tabColor rgb="FF00B050"/>
  </sheetPr>
  <dimension ref="A1:BA74"/>
  <sheetViews>
    <sheetView showGridLines="0" tabSelected="1" topLeftCell="A3" workbookViewId="0">
      <selection activeCell="M22" sqref="M22"/>
    </sheetView>
  </sheetViews>
  <sheetFormatPr defaultColWidth="8.875" defaultRowHeight="14.25"/>
  <cols>
    <col min="1" max="2" width="11.25" customWidth="1"/>
    <col min="3" max="3" width="5.625" customWidth="1"/>
    <col min="4" max="8" width="11.25" customWidth="1"/>
    <col min="9" max="10" width="12" customWidth="1"/>
    <col min="11" max="11" width="13.75" bestFit="1" customWidth="1"/>
    <col min="12" max="12" width="10.875" customWidth="1"/>
    <col min="13" max="17" width="12" customWidth="1"/>
  </cols>
  <sheetData>
    <row r="1" spans="1:20">
      <c r="I1" s="27"/>
      <c r="J1" s="27"/>
      <c r="K1" s="27"/>
      <c r="L1" s="27"/>
      <c r="M1" s="27"/>
      <c r="N1" s="27"/>
      <c r="O1" s="27"/>
      <c r="P1" s="27"/>
      <c r="Q1" s="27"/>
      <c r="R1" s="27"/>
      <c r="S1" s="27"/>
      <c r="T1" s="27"/>
    </row>
    <row r="2" spans="1:20" ht="15">
      <c r="A2" s="250" t="s">
        <v>126</v>
      </c>
      <c r="I2" s="27"/>
      <c r="J2" s="27"/>
      <c r="K2" s="27"/>
      <c r="L2" s="27"/>
      <c r="M2" s="27"/>
      <c r="N2" s="27"/>
      <c r="O2" s="27"/>
      <c r="P2" s="27"/>
      <c r="Q2" s="27"/>
      <c r="R2" s="27"/>
      <c r="S2" s="27"/>
      <c r="T2" s="27"/>
    </row>
    <row r="3" spans="1:20">
      <c r="A3" t="s">
        <v>103</v>
      </c>
      <c r="I3" s="27"/>
      <c r="J3" s="27"/>
      <c r="K3" s="27"/>
      <c r="L3" s="27"/>
      <c r="M3" s="27"/>
      <c r="N3" s="27"/>
      <c r="O3" s="27"/>
      <c r="P3" s="27"/>
      <c r="Q3" s="27"/>
      <c r="R3" s="27"/>
      <c r="S3" s="27"/>
      <c r="T3" s="27"/>
    </row>
    <row r="4" spans="1:20">
      <c r="A4" t="s">
        <v>104</v>
      </c>
    </row>
    <row r="6" spans="1:20">
      <c r="A6" t="s">
        <v>124</v>
      </c>
    </row>
    <row r="8" spans="1:20" ht="14.25" customHeight="1">
      <c r="A8" s="221"/>
      <c r="B8" s="275" t="s">
        <v>89</v>
      </c>
      <c r="C8" s="276"/>
      <c r="D8" s="276"/>
      <c r="E8" s="276"/>
      <c r="F8" s="276"/>
      <c r="G8" s="276"/>
      <c r="H8" s="276"/>
      <c r="I8" s="276"/>
      <c r="J8" s="276"/>
      <c r="K8" s="277"/>
    </row>
    <row r="9" spans="1:20" ht="15">
      <c r="A9" s="222" t="s">
        <v>1</v>
      </c>
      <c r="B9" s="256">
        <v>0</v>
      </c>
      <c r="C9" s="259"/>
      <c r="D9" s="257">
        <v>7.4999999999999997E-3</v>
      </c>
      <c r="E9" s="257">
        <v>0.01</v>
      </c>
      <c r="F9" s="257">
        <v>1.2500000000000001E-2</v>
      </c>
      <c r="G9" s="257">
        <v>1.4999999999999999E-2</v>
      </c>
      <c r="H9" s="257">
        <v>1.7500000000000002E-2</v>
      </c>
      <c r="I9" s="257">
        <v>0.02</v>
      </c>
      <c r="J9" s="257">
        <v>2.2499999999999999E-2</v>
      </c>
      <c r="K9" s="258">
        <v>2.5000000000000001E-2</v>
      </c>
      <c r="M9" s="272" t="s">
        <v>152</v>
      </c>
    </row>
    <row r="10" spans="1:20">
      <c r="A10" s="13">
        <v>1</v>
      </c>
      <c r="B10" s="253">
        <v>3.0000000000000001E-3</v>
      </c>
      <c r="C10" s="260"/>
      <c r="D10" s="237">
        <v>1.0499999999999999E-2</v>
      </c>
      <c r="E10" s="237">
        <v>1.3000000000000001E-2</v>
      </c>
      <c r="F10" s="237">
        <v>1.55E-2</v>
      </c>
      <c r="G10" s="237">
        <v>1.7999999999999999E-2</v>
      </c>
      <c r="H10" s="237">
        <v>2.0500000000000001E-2</v>
      </c>
      <c r="I10" s="237">
        <v>2.3E-2</v>
      </c>
      <c r="J10" s="237">
        <v>2.5499999999999998E-2</v>
      </c>
      <c r="K10" s="238">
        <v>2.8000000000000001E-2</v>
      </c>
      <c r="M10" s="271">
        <v>1</v>
      </c>
      <c r="N10" s="270"/>
    </row>
    <row r="11" spans="1:20">
      <c r="A11" s="13">
        <f>A10+1</f>
        <v>2</v>
      </c>
      <c r="B11" s="253">
        <v>3.0000000000000001E-3</v>
      </c>
      <c r="C11" s="260"/>
      <c r="D11" s="237">
        <v>1.0499999999999999E-2</v>
      </c>
      <c r="E11" s="237">
        <v>1.3000000000000001E-2</v>
      </c>
      <c r="F11" s="237">
        <v>1.55E-2</v>
      </c>
      <c r="G11" s="237">
        <v>1.7999999999999999E-2</v>
      </c>
      <c r="H11" s="237">
        <v>2.0500000000000001E-2</v>
      </c>
      <c r="I11" s="237">
        <v>2.3E-2</v>
      </c>
      <c r="J11" s="237">
        <v>2.5499999999999998E-2</v>
      </c>
      <c r="K11" s="238">
        <v>2.8000000000000001E-2</v>
      </c>
      <c r="M11" s="271">
        <v>1</v>
      </c>
      <c r="N11" s="270"/>
    </row>
    <row r="12" spans="1:20">
      <c r="A12" s="13">
        <f t="shared" ref="A12:A23" si="0">A11+1</f>
        <v>3</v>
      </c>
      <c r="B12" s="253">
        <v>3.0000000000000001E-3</v>
      </c>
      <c r="C12" s="260"/>
      <c r="D12" s="237">
        <v>1.0499999999999999E-2</v>
      </c>
      <c r="E12" s="237">
        <v>1.3000000000000001E-2</v>
      </c>
      <c r="F12" s="237">
        <v>1.55E-2</v>
      </c>
      <c r="G12" s="237">
        <v>1.7999999999999999E-2</v>
      </c>
      <c r="H12" s="237">
        <v>2.0500000000000001E-2</v>
      </c>
      <c r="I12" s="237">
        <v>2.3E-2</v>
      </c>
      <c r="J12" s="237">
        <v>2.5499999999999998E-2</v>
      </c>
      <c r="K12" s="238">
        <v>2.8000000000000001E-2</v>
      </c>
      <c r="M12" s="271">
        <v>1</v>
      </c>
      <c r="N12" s="270"/>
    </row>
    <row r="13" spans="1:20">
      <c r="A13" s="13">
        <f t="shared" si="0"/>
        <v>4</v>
      </c>
      <c r="B13" s="253">
        <v>3.0000000000000001E-3</v>
      </c>
      <c r="C13" s="260"/>
      <c r="D13" s="237">
        <v>1.0499999999999999E-2</v>
      </c>
      <c r="E13" s="237">
        <v>1.3000000000000001E-2</v>
      </c>
      <c r="F13" s="237">
        <v>1.55E-2</v>
      </c>
      <c r="G13" s="237">
        <v>1.7999999999999999E-2</v>
      </c>
      <c r="H13" s="237">
        <v>2.0500000000000001E-2</v>
      </c>
      <c r="I13" s="237">
        <v>2.3E-2</v>
      </c>
      <c r="J13" s="237">
        <v>2.5499999999999998E-2</v>
      </c>
      <c r="K13" s="238">
        <v>2.8000000000000001E-2</v>
      </c>
      <c r="M13" s="271">
        <v>1</v>
      </c>
      <c r="N13" s="270"/>
    </row>
    <row r="14" spans="1:20">
      <c r="A14" s="13">
        <f t="shared" si="0"/>
        <v>5</v>
      </c>
      <c r="B14" s="253">
        <v>3.0000000000000001E-3</v>
      </c>
      <c r="C14" s="260"/>
      <c r="D14" s="237">
        <v>1.0499999999999999E-2</v>
      </c>
      <c r="E14" s="237">
        <v>1.3000000000000001E-2</v>
      </c>
      <c r="F14" s="237">
        <v>1.55E-2</v>
      </c>
      <c r="G14" s="237">
        <v>1.7999999999999999E-2</v>
      </c>
      <c r="H14" s="237">
        <v>2.0500000000000001E-2</v>
      </c>
      <c r="I14" s="237">
        <v>2.3E-2</v>
      </c>
      <c r="J14" s="237">
        <v>2.5499999999999998E-2</v>
      </c>
      <c r="K14" s="238">
        <v>2.8000000000000001E-2</v>
      </c>
      <c r="M14" s="271">
        <v>1</v>
      </c>
      <c r="N14" s="270"/>
    </row>
    <row r="15" spans="1:20">
      <c r="A15" s="13">
        <f t="shared" si="0"/>
        <v>6</v>
      </c>
      <c r="B15" s="253">
        <v>2.8126674163994232E-2</v>
      </c>
      <c r="C15" s="260"/>
      <c r="D15" s="237">
        <v>3.2251777592499337E-2</v>
      </c>
      <c r="E15" s="237">
        <v>3.3664514625085525E-2</v>
      </c>
      <c r="F15" s="237">
        <v>3.5094873685979494E-2</v>
      </c>
      <c r="G15" s="237">
        <v>3.6542174368371205E-2</v>
      </c>
      <c r="H15" s="237">
        <v>3.8005770947753162E-2</v>
      </c>
      <c r="I15" s="237">
        <v>3.9485050191374452E-2</v>
      </c>
      <c r="J15" s="237">
        <v>4.0979429332255346E-2</v>
      </c>
      <c r="K15" s="238">
        <v>4.2488354191285951E-2</v>
      </c>
      <c r="M15" s="271">
        <v>0.83250000000000002</v>
      </c>
      <c r="N15" s="270"/>
    </row>
    <row r="16" spans="1:20">
      <c r="A16" s="13">
        <f t="shared" si="0"/>
        <v>7</v>
      </c>
      <c r="B16" s="253">
        <v>2.2045231101508998E-2</v>
      </c>
      <c r="C16" s="260"/>
      <c r="D16" s="237">
        <v>2.527842027520219E-2</v>
      </c>
      <c r="E16" s="237">
        <v>2.6385700652094064E-2</v>
      </c>
      <c r="F16" s="237">
        <v>2.7506792889010964E-2</v>
      </c>
      <c r="G16" s="237">
        <v>2.864116369412879E-2</v>
      </c>
      <c r="H16" s="237">
        <v>2.9788306959049781E-2</v>
      </c>
      <c r="I16" s="237">
        <v>3.0947742041888091E-2</v>
      </c>
      <c r="J16" s="237">
        <v>3.2119012179335271E-2</v>
      </c>
      <c r="K16" s="238">
        <v>3.3301683014791694E-2</v>
      </c>
      <c r="M16" s="271">
        <v>0.65250000000000008</v>
      </c>
      <c r="N16" s="270"/>
    </row>
    <row r="17" spans="1:53">
      <c r="A17" s="13">
        <f t="shared" si="0"/>
        <v>8</v>
      </c>
      <c r="B17" s="253">
        <v>1.4443427273402447E-2</v>
      </c>
      <c r="C17" s="260"/>
      <c r="D17" s="237">
        <v>1.6561723628580743E-2</v>
      </c>
      <c r="E17" s="237">
        <v>1.7287183185854732E-2</v>
      </c>
      <c r="F17" s="237">
        <v>1.8021691892800284E-2</v>
      </c>
      <c r="G17" s="237">
        <v>1.8764900351325758E-2</v>
      </c>
      <c r="H17" s="237">
        <v>1.9516476973170549E-2</v>
      </c>
      <c r="I17" s="237">
        <v>2.0276106855030125E-2</v>
      </c>
      <c r="J17" s="237">
        <v>2.1043490738185178E-2</v>
      </c>
      <c r="K17" s="238">
        <v>2.1818344044173869E-2</v>
      </c>
      <c r="M17" s="271">
        <v>0.4275000000000001</v>
      </c>
      <c r="N17" s="270"/>
    </row>
    <row r="18" spans="1:53">
      <c r="A18" s="13">
        <f t="shared" si="0"/>
        <v>9</v>
      </c>
      <c r="B18" s="253">
        <v>7.6018038281065511E-3</v>
      </c>
      <c r="C18" s="260"/>
      <c r="D18" s="237">
        <v>8.7166966466214451E-3</v>
      </c>
      <c r="E18" s="237">
        <v>9.0985174662393323E-3</v>
      </c>
      <c r="F18" s="237">
        <v>9.4851009962106762E-3</v>
      </c>
      <c r="G18" s="237">
        <v>9.8762633428030305E-3</v>
      </c>
      <c r="H18" s="237">
        <v>1.0271829985879236E-2</v>
      </c>
      <c r="I18" s="237">
        <v>1.0671635186857962E-2</v>
      </c>
      <c r="J18" s="237">
        <v>1.1075521441150094E-2</v>
      </c>
      <c r="K18" s="238">
        <v>1.1483338970617825E-2</v>
      </c>
      <c r="M18" s="271">
        <v>0.22500000000000006</v>
      </c>
      <c r="N18" s="270"/>
    </row>
    <row r="19" spans="1:53">
      <c r="A19" s="13">
        <f t="shared" si="0"/>
        <v>10</v>
      </c>
      <c r="B19" s="253">
        <v>2.2805411484319651E-3</v>
      </c>
      <c r="C19" s="260"/>
      <c r="D19" s="237">
        <v>2.6150089939864329E-3</v>
      </c>
      <c r="E19" s="237">
        <v>2.7295552398717993E-3</v>
      </c>
      <c r="F19" s="237">
        <v>2.8455302988632022E-3</v>
      </c>
      <c r="G19" s="237">
        <v>2.9628790028409088E-3</v>
      </c>
      <c r="H19" s="237">
        <v>3.08154899576377E-3</v>
      </c>
      <c r="I19" s="237">
        <v>3.201490556057388E-3</v>
      </c>
      <c r="J19" s="237">
        <v>3.3226564323450281E-3</v>
      </c>
      <c r="K19" s="238">
        <v>3.4450016911853473E-3</v>
      </c>
      <c r="M19" s="271">
        <v>6.7500000000000004E-2</v>
      </c>
      <c r="N19" s="270"/>
    </row>
    <row r="20" spans="1:53">
      <c r="A20" s="13">
        <f t="shared" si="0"/>
        <v>11</v>
      </c>
      <c r="B20" s="253">
        <v>1.8244329187455722E-3</v>
      </c>
      <c r="C20" s="260"/>
      <c r="D20" s="237">
        <v>2.0920071951891464E-3</v>
      </c>
      <c r="E20" s="237">
        <v>2.1836441918974396E-3</v>
      </c>
      <c r="F20" s="237">
        <v>2.276424239090562E-3</v>
      </c>
      <c r="G20" s="237">
        <v>2.370303202272727E-3</v>
      </c>
      <c r="H20" s="237">
        <v>2.4652391966110162E-3</v>
      </c>
      <c r="I20" s="237">
        <v>2.5611924448459104E-3</v>
      </c>
      <c r="J20" s="237">
        <v>2.6581251458760225E-3</v>
      </c>
      <c r="K20" s="238">
        <v>2.7560013529482779E-3</v>
      </c>
      <c r="M20" s="271">
        <v>5.4000000000000006E-2</v>
      </c>
      <c r="N20" s="270"/>
    </row>
    <row r="21" spans="1:53">
      <c r="A21" s="13">
        <f t="shared" si="0"/>
        <v>12</v>
      </c>
      <c r="B21" s="253">
        <v>1.4595463349964578E-3</v>
      </c>
      <c r="C21" s="260"/>
      <c r="D21" s="237">
        <v>1.6736057561513172E-3</v>
      </c>
      <c r="E21" s="237">
        <v>1.7469153535179518E-3</v>
      </c>
      <c r="F21" s="237">
        <v>1.8211393912724496E-3</v>
      </c>
      <c r="G21" s="237">
        <v>1.8962425618181816E-3</v>
      </c>
      <c r="H21" s="237">
        <v>1.972191357288813E-3</v>
      </c>
      <c r="I21" s="237">
        <v>2.0489539558767285E-3</v>
      </c>
      <c r="J21" s="237">
        <v>2.1265001167008182E-3</v>
      </c>
      <c r="K21" s="238">
        <v>2.2048010823586222E-3</v>
      </c>
      <c r="M21" s="271">
        <v>4.3200000000000009E-2</v>
      </c>
      <c r="N21" s="270"/>
    </row>
    <row r="22" spans="1:53">
      <c r="A22" s="13">
        <f t="shared" si="0"/>
        <v>13</v>
      </c>
      <c r="B22" s="253">
        <v>1.1676370679971663E-3</v>
      </c>
      <c r="C22" s="260"/>
      <c r="D22" s="237">
        <v>1.3388846049210538E-3</v>
      </c>
      <c r="E22" s="237">
        <v>1.3975322828143615E-3</v>
      </c>
      <c r="F22" s="237">
        <v>1.4569115130179597E-3</v>
      </c>
      <c r="G22" s="237">
        <v>1.5169940494545453E-3</v>
      </c>
      <c r="H22" s="237">
        <v>1.5777530858310505E-3</v>
      </c>
      <c r="I22" s="237">
        <v>1.6391631647013829E-3</v>
      </c>
      <c r="J22" s="237">
        <v>1.7012000933606546E-3</v>
      </c>
      <c r="K22" s="238">
        <v>1.7638408658868978E-3</v>
      </c>
      <c r="M22" s="271">
        <v>3.4560000000000007E-2</v>
      </c>
      <c r="N22" s="270"/>
    </row>
    <row r="23" spans="1:53">
      <c r="A23" s="13">
        <f t="shared" si="0"/>
        <v>14</v>
      </c>
      <c r="B23" s="253">
        <v>9.3410965439773307E-4</v>
      </c>
      <c r="C23" s="260"/>
      <c r="D23" s="237">
        <v>1.0711076839368431E-3</v>
      </c>
      <c r="E23" s="237">
        <v>1.1180258262514892E-3</v>
      </c>
      <c r="F23" s="237">
        <v>1.1655292104143678E-3</v>
      </c>
      <c r="G23" s="237">
        <v>1.2135952395636363E-3</v>
      </c>
      <c r="H23" s="237">
        <v>1.2622024686648405E-3</v>
      </c>
      <c r="I23" s="237">
        <v>1.3113305317611064E-3</v>
      </c>
      <c r="J23" s="237">
        <v>1.3609600746885238E-3</v>
      </c>
      <c r="K23" s="238">
        <v>1.4110726927095184E-3</v>
      </c>
      <c r="M23" s="271">
        <v>2.7648000000000006E-2</v>
      </c>
      <c r="N23" s="270"/>
    </row>
    <row r="24" spans="1:53">
      <c r="A24" s="224">
        <f>A23+1</f>
        <v>15</v>
      </c>
      <c r="B24" s="254">
        <v>7.4728772351818646E-4</v>
      </c>
      <c r="C24" s="261"/>
      <c r="D24" s="239">
        <v>8.5688614714947453E-4</v>
      </c>
      <c r="E24" s="239">
        <v>8.9442066100119144E-4</v>
      </c>
      <c r="F24" s="239">
        <v>9.3242336833149425E-4</v>
      </c>
      <c r="G24" s="239">
        <v>9.7087619165090908E-4</v>
      </c>
      <c r="H24" s="239">
        <v>1.0097619749318725E-3</v>
      </c>
      <c r="I24" s="239">
        <v>1.0490644254088851E-3</v>
      </c>
      <c r="J24" s="239">
        <v>1.088768059750819E-3</v>
      </c>
      <c r="K24" s="240">
        <v>1.1288581541676148E-3</v>
      </c>
      <c r="M24" s="271">
        <v>2.2118400000000007E-2</v>
      </c>
      <c r="N24" s="270"/>
    </row>
    <row r="25" spans="1:53">
      <c r="B25" t="s">
        <v>61</v>
      </c>
      <c r="C25" t="s">
        <v>61</v>
      </c>
      <c r="D25" t="s">
        <v>61</v>
      </c>
    </row>
    <row r="26" spans="1:53">
      <c r="A26" t="s">
        <v>154</v>
      </c>
      <c r="B26" s="2"/>
      <c r="C26" s="2"/>
      <c r="D26" s="2"/>
      <c r="E26" s="2"/>
      <c r="F26" s="2"/>
      <c r="G26" s="2"/>
      <c r="H26" s="2"/>
      <c r="I26" s="2"/>
      <c r="J26" s="2"/>
      <c r="K26" s="2"/>
    </row>
    <row r="27" spans="1:53">
      <c r="A27" t="s">
        <v>153</v>
      </c>
    </row>
    <row r="29" spans="1:53">
      <c r="A29" s="289" t="s">
        <v>157</v>
      </c>
    </row>
    <row r="30" spans="1:53">
      <c r="A30" s="290" t="s">
        <v>155</v>
      </c>
    </row>
    <row r="31" spans="1:53">
      <c r="A31" s="290" t="s">
        <v>156</v>
      </c>
      <c r="W31" s="27"/>
      <c r="X31" s="27"/>
      <c r="Y31" s="27"/>
      <c r="Z31" s="27"/>
      <c r="AA31" s="27"/>
      <c r="AB31" s="27"/>
    </row>
    <row r="32" spans="1:53">
      <c r="A32" s="290"/>
      <c r="N32" s="27"/>
      <c r="O32" s="27"/>
      <c r="P32" s="27"/>
      <c r="Q32" s="27"/>
      <c r="R32" s="27"/>
      <c r="S32" s="27"/>
      <c r="T32" s="27"/>
      <c r="U32" s="27"/>
      <c r="V32" s="27"/>
      <c r="W32" s="9"/>
      <c r="X32" s="9"/>
      <c r="Y32" s="9"/>
      <c r="Z32" s="9"/>
      <c r="AA32" s="9"/>
      <c r="AB32" s="9"/>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1:53">
      <c r="A33" s="289" t="s">
        <v>158</v>
      </c>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27"/>
    </row>
    <row r="34" spans="1:53">
      <c r="A34" s="290" t="s">
        <v>159</v>
      </c>
      <c r="N34" s="27"/>
      <c r="O34" s="27"/>
      <c r="P34" s="27"/>
      <c r="Q34" s="27"/>
      <c r="R34" s="27"/>
      <c r="S34" s="27"/>
      <c r="T34" s="27"/>
      <c r="U34" s="27"/>
      <c r="V34" s="27"/>
      <c r="W34" s="27"/>
      <c r="X34" s="27"/>
      <c r="Y34" s="27"/>
      <c r="Z34" s="27"/>
      <c r="AA34" s="27"/>
      <c r="AB34" s="27"/>
      <c r="AC34" s="9"/>
      <c r="AD34" s="9"/>
      <c r="AE34" s="9"/>
      <c r="AF34" s="9"/>
      <c r="AG34" s="9"/>
      <c r="AH34" s="9"/>
      <c r="AI34" s="9"/>
      <c r="AJ34" s="9"/>
      <c r="AK34" s="9"/>
      <c r="AL34" s="9"/>
      <c r="AM34" s="9"/>
      <c r="AN34" s="9"/>
      <c r="AO34" s="9"/>
      <c r="AP34" s="9"/>
      <c r="AQ34" s="9"/>
      <c r="AR34" s="9"/>
      <c r="AS34" s="9"/>
      <c r="AT34" s="9"/>
      <c r="AU34" s="9"/>
      <c r="AV34" s="9"/>
      <c r="AW34" s="9"/>
      <c r="AX34" s="9"/>
      <c r="AY34" s="9"/>
      <c r="AZ34" s="9"/>
      <c r="BA34" s="27"/>
    </row>
    <row r="35" spans="1:53">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c r="M41" s="27"/>
      <c r="N41" s="27"/>
      <c r="O41" s="27"/>
      <c r="P41" s="27"/>
      <c r="Q41" s="27"/>
      <c r="R41" s="27"/>
      <c r="S41" s="27"/>
      <c r="T41" s="27"/>
      <c r="U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64" spans="17:21">
      <c r="Q64" s="9">
        <f>Q33+1</f>
        <v>1</v>
      </c>
      <c r="R64" s="9">
        <f>Q64+1</f>
        <v>2</v>
      </c>
      <c r="S64" s="9">
        <f>R64+1</f>
        <v>3</v>
      </c>
      <c r="T64" s="9">
        <f>S64+1</f>
        <v>4</v>
      </c>
      <c r="U64" s="9">
        <f>T64+1</f>
        <v>5</v>
      </c>
    </row>
    <row r="73" spans="22:51">
      <c r="V73" s="9">
        <f>U64+1</f>
        <v>6</v>
      </c>
      <c r="W73" s="9">
        <f>V73+1</f>
        <v>7</v>
      </c>
      <c r="X73" s="9">
        <f>W73+1</f>
        <v>8</v>
      </c>
      <c r="Y73" s="9">
        <f>X73+1</f>
        <v>9</v>
      </c>
      <c r="Z73" s="9">
        <f>Y73+1</f>
        <v>10</v>
      </c>
      <c r="AA73" s="9">
        <f>Z73+1</f>
        <v>11</v>
      </c>
    </row>
    <row r="74" spans="22:51">
      <c r="AB74" s="9">
        <f>AA73+1</f>
        <v>12</v>
      </c>
      <c r="AC74" s="9">
        <f t="shared" ref="AC74:AI74" si="1">AB74+1</f>
        <v>13</v>
      </c>
      <c r="AD74" s="9">
        <f t="shared" si="1"/>
        <v>14</v>
      </c>
      <c r="AE74" s="9">
        <f t="shared" si="1"/>
        <v>15</v>
      </c>
      <c r="AF74" s="9">
        <f t="shared" si="1"/>
        <v>16</v>
      </c>
      <c r="AG74" s="9">
        <f t="shared" si="1"/>
        <v>17</v>
      </c>
      <c r="AH74" s="9">
        <f t="shared" si="1"/>
        <v>18</v>
      </c>
      <c r="AI74" s="9">
        <f t="shared" si="1"/>
        <v>19</v>
      </c>
      <c r="AJ74" s="9">
        <f t="shared" ref="AJ74:AY74" si="2">AI74+1</f>
        <v>20</v>
      </c>
      <c r="AK74" s="9">
        <f t="shared" si="2"/>
        <v>21</v>
      </c>
      <c r="AL74" s="9">
        <f t="shared" si="2"/>
        <v>22</v>
      </c>
      <c r="AM74" s="9">
        <f t="shared" si="2"/>
        <v>23</v>
      </c>
      <c r="AN74" s="9">
        <f t="shared" si="2"/>
        <v>24</v>
      </c>
      <c r="AO74" s="9">
        <f t="shared" si="2"/>
        <v>25</v>
      </c>
      <c r="AP74" s="9">
        <f t="shared" si="2"/>
        <v>26</v>
      </c>
      <c r="AQ74" s="9">
        <f t="shared" si="2"/>
        <v>27</v>
      </c>
      <c r="AR74" s="9">
        <f t="shared" si="2"/>
        <v>28</v>
      </c>
      <c r="AS74" s="9">
        <f t="shared" si="2"/>
        <v>29</v>
      </c>
      <c r="AT74" s="9">
        <f t="shared" si="2"/>
        <v>30</v>
      </c>
      <c r="AU74" s="9">
        <f t="shared" si="2"/>
        <v>31</v>
      </c>
      <c r="AV74" s="9">
        <f t="shared" si="2"/>
        <v>32</v>
      </c>
      <c r="AW74" s="9">
        <f t="shared" si="2"/>
        <v>33</v>
      </c>
      <c r="AX74" s="9">
        <f t="shared" si="2"/>
        <v>34</v>
      </c>
      <c r="AY74" s="9">
        <f t="shared" si="2"/>
        <v>35</v>
      </c>
    </row>
  </sheetData>
  <mergeCells count="1">
    <mergeCell ref="B8:K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69770-FBE3-48C3-8ADC-13FA13507171}">
  <sheetPr>
    <tabColor rgb="FF00B050"/>
  </sheetPr>
  <dimension ref="A2:L33"/>
  <sheetViews>
    <sheetView showGridLines="0" workbookViewId="0">
      <selection sqref="A1:XFD1048576"/>
    </sheetView>
  </sheetViews>
  <sheetFormatPr defaultColWidth="8.875" defaultRowHeight="14.25"/>
  <cols>
    <col min="1" max="8" width="11.25" style="305" customWidth="1"/>
    <col min="9" max="10" width="12" style="305" customWidth="1"/>
    <col min="11" max="11" width="13.75" style="305" bestFit="1" customWidth="1"/>
    <col min="12" max="12" width="21.375" style="305" bestFit="1" customWidth="1"/>
    <col min="13" max="17" width="12" style="305" customWidth="1"/>
    <col min="18" max="16384" width="8.875" style="305"/>
  </cols>
  <sheetData>
    <row r="2" spans="1:12" ht="14.25" customHeight="1">
      <c r="A2" s="250" t="s">
        <v>133</v>
      </c>
    </row>
    <row r="3" spans="1:12">
      <c r="A3" s="305" t="s">
        <v>112</v>
      </c>
    </row>
    <row r="5" spans="1:12">
      <c r="A5" s="305" t="s">
        <v>124</v>
      </c>
    </row>
    <row r="7" spans="1:12" ht="14.25" customHeight="1">
      <c r="A7" s="306"/>
      <c r="B7" s="307" t="s">
        <v>89</v>
      </c>
      <c r="C7" s="308"/>
      <c r="D7" s="308"/>
      <c r="E7" s="308"/>
      <c r="F7" s="308"/>
      <c r="G7" s="308"/>
      <c r="H7" s="308"/>
      <c r="I7" s="309"/>
    </row>
    <row r="8" spans="1:12" ht="15">
      <c r="A8" s="311" t="s">
        <v>1</v>
      </c>
      <c r="B8" s="256">
        <v>0</v>
      </c>
      <c r="C8" s="251">
        <v>2.5000000000000001E-3</v>
      </c>
      <c r="D8" s="251">
        <v>5.0000000000000001E-3</v>
      </c>
      <c r="E8" s="251">
        <v>7.4999999999999997E-3</v>
      </c>
      <c r="F8" s="251">
        <v>0.01</v>
      </c>
      <c r="G8" s="251">
        <v>1.2500000000000001E-2</v>
      </c>
      <c r="H8" s="251">
        <v>1.4999999999999999E-2</v>
      </c>
      <c r="I8" s="255">
        <v>1.7500000000000002E-2</v>
      </c>
      <c r="K8" s="310" t="s">
        <v>152</v>
      </c>
    </row>
    <row r="9" spans="1:12">
      <c r="A9" s="312">
        <v>1</v>
      </c>
      <c r="B9" s="313">
        <v>2.5000000000000001E-3</v>
      </c>
      <c r="C9" s="314">
        <v>5.0000000000000001E-3</v>
      </c>
      <c r="D9" s="314">
        <v>7.4999999999999997E-3</v>
      </c>
      <c r="E9" s="314">
        <v>0.01</v>
      </c>
      <c r="F9" s="314">
        <v>1.2500000000000001E-2</v>
      </c>
      <c r="G9" s="314">
        <v>1.5000000000000001E-2</v>
      </c>
      <c r="H9" s="314">
        <v>1.7499999999999998E-2</v>
      </c>
      <c r="I9" s="315">
        <v>0.02</v>
      </c>
      <c r="K9" s="317">
        <v>1</v>
      </c>
      <c r="L9" s="317"/>
    </row>
    <row r="10" spans="1:12">
      <c r="A10" s="312">
        <f>A9+1</f>
        <v>2</v>
      </c>
      <c r="B10" s="313">
        <v>2.5000000000000001E-3</v>
      </c>
      <c r="C10" s="318">
        <v>5.0000000000000001E-3</v>
      </c>
      <c r="D10" s="318">
        <v>7.4999999999999997E-3</v>
      </c>
      <c r="E10" s="318">
        <v>0.01</v>
      </c>
      <c r="F10" s="318">
        <v>1.2500000000000001E-2</v>
      </c>
      <c r="G10" s="318">
        <v>1.5000000000000001E-2</v>
      </c>
      <c r="H10" s="318">
        <v>1.7499999999999998E-2</v>
      </c>
      <c r="I10" s="319">
        <v>0.02</v>
      </c>
      <c r="K10" s="317">
        <v>1</v>
      </c>
      <c r="L10" s="317"/>
    </row>
    <row r="11" spans="1:12">
      <c r="A11" s="312">
        <f t="shared" ref="A11:A22" si="0">A10+1</f>
        <v>3</v>
      </c>
      <c r="B11" s="313">
        <v>2.5000000000000001E-3</v>
      </c>
      <c r="C11" s="318">
        <v>5.0000000000000001E-3</v>
      </c>
      <c r="D11" s="318">
        <v>7.4999999999999997E-3</v>
      </c>
      <c r="E11" s="318">
        <v>0.01</v>
      </c>
      <c r="F11" s="318">
        <v>1.2500000000000001E-2</v>
      </c>
      <c r="G11" s="318">
        <v>1.5000000000000001E-2</v>
      </c>
      <c r="H11" s="318">
        <v>1.7499999999999998E-2</v>
      </c>
      <c r="I11" s="319">
        <v>0.02</v>
      </c>
      <c r="K11" s="317">
        <v>1</v>
      </c>
      <c r="L11" s="317"/>
    </row>
    <row r="12" spans="1:12">
      <c r="A12" s="312">
        <f t="shared" si="0"/>
        <v>4</v>
      </c>
      <c r="B12" s="313">
        <v>2.5000000000000001E-3</v>
      </c>
      <c r="C12" s="318">
        <v>5.0000000000000001E-3</v>
      </c>
      <c r="D12" s="318">
        <v>7.4999999999999997E-3</v>
      </c>
      <c r="E12" s="318">
        <v>0.01</v>
      </c>
      <c r="F12" s="318">
        <v>1.2500000000000001E-2</v>
      </c>
      <c r="G12" s="318">
        <v>1.5000000000000001E-2</v>
      </c>
      <c r="H12" s="318">
        <v>1.7499999999999998E-2</v>
      </c>
      <c r="I12" s="319">
        <v>0.02</v>
      </c>
      <c r="K12" s="317">
        <v>1</v>
      </c>
      <c r="L12" s="317"/>
    </row>
    <row r="13" spans="1:12">
      <c r="A13" s="312">
        <f t="shared" si="0"/>
        <v>5</v>
      </c>
      <c r="B13" s="313">
        <v>1.700342025504939E-2</v>
      </c>
      <c r="C13" s="318">
        <v>1.883477292229864E-2</v>
      </c>
      <c r="D13" s="318">
        <v>2.0649019030604239E-2</v>
      </c>
      <c r="E13" s="318">
        <v>2.2473509872755752E-2</v>
      </c>
      <c r="F13" s="318">
        <v>2.4307902311543693E-2</v>
      </c>
      <c r="G13" s="318">
        <v>2.6151868192997425E-2</v>
      </c>
      <c r="H13" s="318">
        <v>2.800509354148828E-2</v>
      </c>
      <c r="I13" s="319">
        <v>2.9867277806030754E-2</v>
      </c>
      <c r="K13" s="317">
        <v>0.90000000000000013</v>
      </c>
      <c r="L13" s="317"/>
    </row>
    <row r="14" spans="1:12">
      <c r="A14" s="312">
        <f t="shared" si="0"/>
        <v>6</v>
      </c>
      <c r="B14" s="313">
        <v>1.5090535476356332E-2</v>
      </c>
      <c r="C14" s="318">
        <v>1.6715860968540039E-2</v>
      </c>
      <c r="D14" s="318">
        <v>1.8326004389661261E-2</v>
      </c>
      <c r="E14" s="318">
        <v>1.9945240012070729E-2</v>
      </c>
      <c r="F14" s="318">
        <v>2.1573263301495026E-2</v>
      </c>
      <c r="G14" s="318">
        <v>2.3209783021285214E-2</v>
      </c>
      <c r="H14" s="318">
        <v>2.4854520518070848E-2</v>
      </c>
      <c r="I14" s="319">
        <v>2.6507209052852296E-2</v>
      </c>
      <c r="K14" s="317">
        <v>0.79875000000000018</v>
      </c>
      <c r="L14" s="317"/>
    </row>
    <row r="15" spans="1:12">
      <c r="A15" s="312">
        <f t="shared" si="0"/>
        <v>7</v>
      </c>
      <c r="B15" s="313">
        <v>1.0839680412593986E-2</v>
      </c>
      <c r="C15" s="318">
        <v>1.2007167737965382E-2</v>
      </c>
      <c r="D15" s="318">
        <v>1.3163749632010202E-2</v>
      </c>
      <c r="E15" s="318">
        <v>1.4326862543881793E-2</v>
      </c>
      <c r="F15" s="318">
        <v>1.5496287723609104E-2</v>
      </c>
      <c r="G15" s="318">
        <v>1.667181597303586E-2</v>
      </c>
      <c r="H15" s="318">
        <v>1.7853247132698778E-2</v>
      </c>
      <c r="I15" s="319">
        <v>1.9040389601344607E-2</v>
      </c>
      <c r="K15" s="317">
        <v>0.57375000000000009</v>
      </c>
      <c r="L15" s="317"/>
    </row>
    <row r="16" spans="1:12">
      <c r="A16" s="312">
        <f t="shared" si="0"/>
        <v>8</v>
      </c>
      <c r="B16" s="313">
        <v>6.1637398424554037E-3</v>
      </c>
      <c r="C16" s="318">
        <v>6.8276051843332557E-3</v>
      </c>
      <c r="D16" s="318">
        <v>7.4852693985940355E-3</v>
      </c>
      <c r="E16" s="318">
        <v>8.1466473288739592E-3</v>
      </c>
      <c r="F16" s="318">
        <v>8.8116145879345888E-3</v>
      </c>
      <c r="G16" s="318">
        <v>9.4800522199615673E-3</v>
      </c>
      <c r="H16" s="318">
        <v>1.0151846408789501E-2</v>
      </c>
      <c r="I16" s="319">
        <v>1.082688820468615E-2</v>
      </c>
      <c r="K16" s="317">
        <v>0.32625000000000004</v>
      </c>
      <c r="L16" s="317"/>
    </row>
    <row r="17" spans="1:12">
      <c r="A17" s="312">
        <f t="shared" si="0"/>
        <v>9</v>
      </c>
      <c r="B17" s="313">
        <v>1.9128847786930561E-3</v>
      </c>
      <c r="C17" s="318">
        <v>2.1189119537585966E-3</v>
      </c>
      <c r="D17" s="318">
        <v>2.3230146409429766E-3</v>
      </c>
      <c r="E17" s="318">
        <v>2.528269860685022E-3</v>
      </c>
      <c r="F17" s="318">
        <v>2.7346390100486655E-3</v>
      </c>
      <c r="G17" s="318">
        <v>2.9420851717122101E-3</v>
      </c>
      <c r="H17" s="318">
        <v>3.1505730234174315E-3</v>
      </c>
      <c r="I17" s="319">
        <v>3.3600687531784596E-3</v>
      </c>
      <c r="K17" s="317">
        <v>0.10125000000000002</v>
      </c>
      <c r="L17" s="317"/>
    </row>
    <row r="18" spans="1:12">
      <c r="A18" s="312">
        <f t="shared" si="0"/>
        <v>10</v>
      </c>
      <c r="B18" s="313">
        <v>1.5303078229544449E-3</v>
      </c>
      <c r="C18" s="318">
        <v>1.6951295630068773E-3</v>
      </c>
      <c r="D18" s="318">
        <v>1.8584117127543815E-3</v>
      </c>
      <c r="E18" s="318">
        <v>2.0226158885480179E-3</v>
      </c>
      <c r="F18" s="318">
        <v>2.1877112080389326E-3</v>
      </c>
      <c r="G18" s="318">
        <v>2.3536681373697681E-3</v>
      </c>
      <c r="H18" s="318">
        <v>2.5204584187339452E-3</v>
      </c>
      <c r="I18" s="319">
        <v>2.688055002542768E-3</v>
      </c>
      <c r="K18" s="317">
        <v>8.1000000000000016E-2</v>
      </c>
      <c r="L18" s="317"/>
    </row>
    <row r="19" spans="1:12">
      <c r="A19" s="312">
        <f t="shared" si="0"/>
        <v>11</v>
      </c>
      <c r="B19" s="313">
        <v>1.224246258363556E-3</v>
      </c>
      <c r="C19" s="318">
        <v>1.356103650405502E-3</v>
      </c>
      <c r="D19" s="318">
        <v>1.4867293702035052E-3</v>
      </c>
      <c r="E19" s="318">
        <v>1.6180927108384144E-3</v>
      </c>
      <c r="F19" s="318">
        <v>1.7501689664311461E-3</v>
      </c>
      <c r="G19" s="318">
        <v>1.8829345098958145E-3</v>
      </c>
      <c r="H19" s="318">
        <v>2.0163667349871561E-3</v>
      </c>
      <c r="I19" s="319">
        <v>2.1504440020342144E-3</v>
      </c>
      <c r="K19" s="317">
        <v>6.480000000000001E-2</v>
      </c>
      <c r="L19" s="317"/>
    </row>
    <row r="20" spans="1:12">
      <c r="A20" s="312">
        <f t="shared" si="0"/>
        <v>12</v>
      </c>
      <c r="B20" s="313">
        <v>9.7939700669084483E-4</v>
      </c>
      <c r="C20" s="318">
        <v>1.0848829203244017E-3</v>
      </c>
      <c r="D20" s="318">
        <v>1.1893834961628042E-3</v>
      </c>
      <c r="E20" s="318">
        <v>1.2944741686707316E-3</v>
      </c>
      <c r="F20" s="318">
        <v>1.4001351731449171E-3</v>
      </c>
      <c r="G20" s="318">
        <v>1.5063476079166518E-3</v>
      </c>
      <c r="H20" s="318">
        <v>1.6130933879897249E-3</v>
      </c>
      <c r="I20" s="319">
        <v>1.7203552016273717E-3</v>
      </c>
      <c r="K20" s="317">
        <v>5.1840000000000011E-2</v>
      </c>
      <c r="L20" s="317"/>
    </row>
    <row r="21" spans="1:12">
      <c r="A21" s="312">
        <f t="shared" si="0"/>
        <v>13</v>
      </c>
      <c r="B21" s="313">
        <v>7.8351760535267593E-4</v>
      </c>
      <c r="C21" s="318">
        <v>8.6790633625952142E-4</v>
      </c>
      <c r="D21" s="318">
        <v>9.5150679693024344E-4</v>
      </c>
      <c r="E21" s="318">
        <v>1.0355793349365852E-3</v>
      </c>
      <c r="F21" s="318">
        <v>1.1201081385159336E-3</v>
      </c>
      <c r="G21" s="318">
        <v>1.2050780863333216E-3</v>
      </c>
      <c r="H21" s="318">
        <v>1.2904747103917799E-3</v>
      </c>
      <c r="I21" s="319">
        <v>1.3762841613018974E-3</v>
      </c>
      <c r="K21" s="317">
        <v>4.1472000000000016E-2</v>
      </c>
      <c r="L21" s="317"/>
    </row>
    <row r="22" spans="1:12">
      <c r="A22" s="312">
        <f t="shared" si="0"/>
        <v>14</v>
      </c>
      <c r="B22" s="313">
        <v>6.2681408428214079E-4</v>
      </c>
      <c r="C22" s="318">
        <v>6.943250690076172E-4</v>
      </c>
      <c r="D22" s="318">
        <v>7.6120543754419482E-4</v>
      </c>
      <c r="E22" s="318">
        <v>8.2846346794926819E-4</v>
      </c>
      <c r="F22" s="318">
        <v>8.9608651081274696E-4</v>
      </c>
      <c r="G22" s="318">
        <v>9.6406246906665738E-4</v>
      </c>
      <c r="H22" s="318">
        <v>1.0323797683134239E-3</v>
      </c>
      <c r="I22" s="319">
        <v>1.1010273290415179E-3</v>
      </c>
      <c r="K22" s="317">
        <v>3.3177600000000015E-2</v>
      </c>
      <c r="L22" s="317"/>
    </row>
    <row r="23" spans="1:12">
      <c r="A23" s="320">
        <f>A22+1</f>
        <v>15</v>
      </c>
      <c r="B23" s="321">
        <v>5.0145126742571263E-4</v>
      </c>
      <c r="C23" s="322">
        <v>5.5546005520609374E-4</v>
      </c>
      <c r="D23" s="322">
        <v>6.0896435003535588E-4</v>
      </c>
      <c r="E23" s="322">
        <v>6.6277077435941462E-4</v>
      </c>
      <c r="F23" s="322">
        <v>7.1686920865019757E-4</v>
      </c>
      <c r="G23" s="322">
        <v>7.7124997525332591E-4</v>
      </c>
      <c r="H23" s="322">
        <v>8.2590381465073913E-4</v>
      </c>
      <c r="I23" s="323">
        <v>8.8082186323321435E-4</v>
      </c>
      <c r="K23" s="316">
        <v>2.6542080000000016E-2</v>
      </c>
      <c r="L23" s="317"/>
    </row>
    <row r="24" spans="1:12">
      <c r="L24" s="317"/>
    </row>
    <row r="25" spans="1:12">
      <c r="A25" s="305" t="s">
        <v>154</v>
      </c>
    </row>
    <row r="26" spans="1:12">
      <c r="A26" s="305" t="s">
        <v>153</v>
      </c>
    </row>
    <row r="28" spans="1:12">
      <c r="A28" s="324" t="s">
        <v>157</v>
      </c>
    </row>
    <row r="29" spans="1:12">
      <c r="A29" s="305" t="s">
        <v>155</v>
      </c>
    </row>
    <row r="30" spans="1:12">
      <c r="A30" s="305" t="s">
        <v>160</v>
      </c>
    </row>
    <row r="32" spans="1:12">
      <c r="A32" s="324" t="s">
        <v>158</v>
      </c>
    </row>
    <row r="33" spans="1:1">
      <c r="A33" s="305" t="s">
        <v>159</v>
      </c>
    </row>
  </sheetData>
  <mergeCells count="1">
    <mergeCell ref="B7:I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B14D0-6F03-4289-8F71-D3341AFEF76C}">
  <sheetPr>
    <tabColor rgb="FF00B050"/>
  </sheetPr>
  <dimension ref="A2:M33"/>
  <sheetViews>
    <sheetView showGridLines="0" workbookViewId="0">
      <selection sqref="A1:XFD1048576"/>
    </sheetView>
  </sheetViews>
  <sheetFormatPr defaultColWidth="8.875" defaultRowHeight="14.25"/>
  <cols>
    <col min="1" max="8" width="11.25" style="305" customWidth="1"/>
    <col min="9" max="10" width="12" style="305" customWidth="1"/>
    <col min="11" max="11" width="13.75" style="305" bestFit="1" customWidth="1"/>
    <col min="12" max="12" width="21.375" style="305" bestFit="1" customWidth="1"/>
    <col min="13" max="17" width="12" style="305" customWidth="1"/>
    <col min="18" max="16384" width="8.875" style="305"/>
  </cols>
  <sheetData>
    <row r="2" spans="1:13" ht="15">
      <c r="A2" s="250" t="s">
        <v>134</v>
      </c>
    </row>
    <row r="3" spans="1:13">
      <c r="A3" s="305" t="s">
        <v>113</v>
      </c>
    </row>
    <row r="5" spans="1:13">
      <c r="A5" s="305" t="s">
        <v>124</v>
      </c>
    </row>
    <row r="7" spans="1:13" ht="14.25" customHeight="1">
      <c r="A7" s="306"/>
      <c r="B7" s="307" t="s">
        <v>89</v>
      </c>
      <c r="C7" s="308"/>
      <c r="D7" s="308"/>
      <c r="E7" s="308"/>
      <c r="F7" s="308"/>
      <c r="G7" s="308"/>
      <c r="H7" s="308"/>
      <c r="I7" s="309"/>
    </row>
    <row r="8" spans="1:13" ht="15">
      <c r="A8" s="311" t="s">
        <v>1</v>
      </c>
      <c r="B8" s="256">
        <v>0</v>
      </c>
      <c r="C8" s="257">
        <v>2.5000000000000001E-3</v>
      </c>
      <c r="D8" s="257">
        <v>5.0000000000000001E-3</v>
      </c>
      <c r="E8" s="257">
        <v>7.4999999999999997E-3</v>
      </c>
      <c r="F8" s="257">
        <v>0.01</v>
      </c>
      <c r="G8" s="257">
        <v>1.2500000000000001E-2</v>
      </c>
      <c r="H8" s="257">
        <v>1.4999999999999999E-2</v>
      </c>
      <c r="I8" s="258">
        <v>1.7500000000000002E-2</v>
      </c>
      <c r="K8" s="310" t="s">
        <v>152</v>
      </c>
    </row>
    <row r="9" spans="1:13">
      <c r="A9" s="312">
        <v>1</v>
      </c>
      <c r="B9" s="325">
        <v>1.5E-3</v>
      </c>
      <c r="C9" s="314">
        <v>4.0000000000000001E-3</v>
      </c>
      <c r="D9" s="314">
        <v>6.5000000000000006E-3</v>
      </c>
      <c r="E9" s="314">
        <v>8.9999999999999993E-3</v>
      </c>
      <c r="F9" s="314">
        <v>1.15E-2</v>
      </c>
      <c r="G9" s="314">
        <v>1.4E-2</v>
      </c>
      <c r="H9" s="314">
        <v>1.6500000000000001E-2</v>
      </c>
      <c r="I9" s="315">
        <v>1.9000000000000003E-2</v>
      </c>
      <c r="K9" s="326">
        <v>1</v>
      </c>
      <c r="L9" s="317"/>
      <c r="M9" s="327"/>
    </row>
    <row r="10" spans="1:13">
      <c r="A10" s="312">
        <f>A9+1</f>
        <v>2</v>
      </c>
      <c r="B10" s="328">
        <v>1.5E-3</v>
      </c>
      <c r="C10" s="318">
        <v>4.0000000000000001E-3</v>
      </c>
      <c r="D10" s="318">
        <v>6.5000000000000006E-3</v>
      </c>
      <c r="E10" s="318">
        <v>8.9999999999999993E-3</v>
      </c>
      <c r="F10" s="318">
        <v>1.15E-2</v>
      </c>
      <c r="G10" s="318">
        <v>1.4E-2</v>
      </c>
      <c r="H10" s="318">
        <v>1.6500000000000001E-2</v>
      </c>
      <c r="I10" s="319">
        <v>1.9000000000000003E-2</v>
      </c>
      <c r="K10" s="326">
        <v>1</v>
      </c>
      <c r="L10" s="317"/>
      <c r="M10" s="327"/>
    </row>
    <row r="11" spans="1:13">
      <c r="A11" s="312">
        <f t="shared" ref="A11:A22" si="0">A10+1</f>
        <v>3</v>
      </c>
      <c r="B11" s="328">
        <v>1.5E-3</v>
      </c>
      <c r="C11" s="318">
        <v>4.0000000000000001E-3</v>
      </c>
      <c r="D11" s="318">
        <v>6.5000000000000006E-3</v>
      </c>
      <c r="E11" s="318">
        <v>8.9999999999999993E-3</v>
      </c>
      <c r="F11" s="318">
        <v>1.15E-2</v>
      </c>
      <c r="G11" s="318">
        <v>1.4E-2</v>
      </c>
      <c r="H11" s="318">
        <v>1.6500000000000001E-2</v>
      </c>
      <c r="I11" s="319">
        <v>1.9000000000000003E-2</v>
      </c>
      <c r="K11" s="326">
        <v>1</v>
      </c>
      <c r="L11" s="317"/>
      <c r="M11" s="327"/>
    </row>
    <row r="12" spans="1:13">
      <c r="A12" s="312">
        <f t="shared" si="0"/>
        <v>4</v>
      </c>
      <c r="B12" s="328">
        <v>1.5E-3</v>
      </c>
      <c r="C12" s="318">
        <v>4.0000000000000001E-3</v>
      </c>
      <c r="D12" s="318">
        <v>6.5000000000000006E-3</v>
      </c>
      <c r="E12" s="318">
        <v>8.9999999999999993E-3</v>
      </c>
      <c r="F12" s="318">
        <v>1.15E-2</v>
      </c>
      <c r="G12" s="318">
        <v>1.4E-2</v>
      </c>
      <c r="H12" s="318">
        <v>1.6500000000000001E-2</v>
      </c>
      <c r="I12" s="319">
        <v>1.9000000000000003E-2</v>
      </c>
      <c r="K12" s="326">
        <v>1</v>
      </c>
      <c r="L12" s="317"/>
      <c r="M12" s="327"/>
    </row>
    <row r="13" spans="1:13">
      <c r="A13" s="312">
        <f t="shared" si="0"/>
        <v>5</v>
      </c>
      <c r="B13" s="328">
        <v>9.010276859198748E-3</v>
      </c>
      <c r="C13" s="318">
        <v>1.0522106190066511E-2</v>
      </c>
      <c r="D13" s="318">
        <v>1.2044979420401856E-2</v>
      </c>
      <c r="E13" s="318">
        <v>1.3578553332495656E-2</v>
      </c>
      <c r="F13" s="318">
        <v>1.5187488986466203E-2</v>
      </c>
      <c r="G13" s="318">
        <v>1.6900101358394353E-2</v>
      </c>
      <c r="H13" s="318">
        <v>1.8618083546521235E-2</v>
      </c>
      <c r="I13" s="319">
        <v>2.0341307322353463E-2</v>
      </c>
      <c r="K13" s="326">
        <v>0.90000000000000013</v>
      </c>
      <c r="L13" s="317"/>
      <c r="M13" s="327"/>
    </row>
    <row r="14" spans="1:13">
      <c r="A14" s="312">
        <f t="shared" si="0"/>
        <v>6</v>
      </c>
      <c r="B14" s="328">
        <v>9.010276859198748E-3</v>
      </c>
      <c r="C14" s="318">
        <v>1.0522106190066511E-2</v>
      </c>
      <c r="D14" s="318">
        <v>1.2044979420401856E-2</v>
      </c>
      <c r="E14" s="318">
        <v>1.3578553332495656E-2</v>
      </c>
      <c r="F14" s="318">
        <v>1.5187488986466203E-2</v>
      </c>
      <c r="G14" s="318">
        <v>1.6900101358394353E-2</v>
      </c>
      <c r="H14" s="318">
        <v>1.8618083546521235E-2</v>
      </c>
      <c r="I14" s="319">
        <v>2.0341307322353463E-2</v>
      </c>
      <c r="K14" s="326">
        <v>0.90000000000000013</v>
      </c>
      <c r="L14" s="317"/>
      <c r="M14" s="327"/>
    </row>
    <row r="15" spans="1:13">
      <c r="A15" s="312">
        <f t="shared" si="0"/>
        <v>7</v>
      </c>
      <c r="B15" s="328">
        <v>9.010276859198748E-3</v>
      </c>
      <c r="C15" s="318">
        <v>1.0522106190066511E-2</v>
      </c>
      <c r="D15" s="318">
        <v>1.2044979420401856E-2</v>
      </c>
      <c r="E15" s="318">
        <v>1.3578553332495656E-2</v>
      </c>
      <c r="F15" s="318">
        <v>1.5187488986466203E-2</v>
      </c>
      <c r="G15" s="318">
        <v>1.6900101358394353E-2</v>
      </c>
      <c r="H15" s="318">
        <v>1.8618083546521235E-2</v>
      </c>
      <c r="I15" s="319">
        <v>2.0341307322353463E-2</v>
      </c>
      <c r="K15" s="326">
        <v>0.90000000000000013</v>
      </c>
      <c r="L15" s="317"/>
      <c r="M15" s="327"/>
    </row>
    <row r="16" spans="1:13">
      <c r="A16" s="312">
        <f t="shared" si="0"/>
        <v>8</v>
      </c>
      <c r="B16" s="328">
        <v>7.9966207125388884E-3</v>
      </c>
      <c r="C16" s="318">
        <v>9.3383692436840304E-3</v>
      </c>
      <c r="D16" s="318">
        <v>1.0689919235606648E-2</v>
      </c>
      <c r="E16" s="318">
        <v>1.2050966082589895E-2</v>
      </c>
      <c r="F16" s="318">
        <v>1.3478896475488755E-2</v>
      </c>
      <c r="G16" s="318">
        <v>1.4998839955574987E-2</v>
      </c>
      <c r="H16" s="318">
        <v>1.6523549147537595E-2</v>
      </c>
      <c r="I16" s="319">
        <v>1.8052910248588697E-2</v>
      </c>
      <c r="K16" s="326">
        <v>0.79875000000000018</v>
      </c>
      <c r="L16" s="317"/>
      <c r="M16" s="327"/>
    </row>
    <row r="17" spans="1:13">
      <c r="A17" s="312">
        <f t="shared" si="0"/>
        <v>9</v>
      </c>
      <c r="B17" s="328">
        <v>5.7440514977392023E-3</v>
      </c>
      <c r="C17" s="318">
        <v>6.7078426961674018E-3</v>
      </c>
      <c r="D17" s="318">
        <v>7.6786743805061829E-3</v>
      </c>
      <c r="E17" s="318">
        <v>8.6563277494659807E-3</v>
      </c>
      <c r="F17" s="318">
        <v>9.6820242288722051E-3</v>
      </c>
      <c r="G17" s="318">
        <v>1.07738146159764E-2</v>
      </c>
      <c r="H17" s="318">
        <v>1.1869028260907287E-2</v>
      </c>
      <c r="I17" s="319">
        <v>1.2967583418000334E-2</v>
      </c>
      <c r="K17" s="326">
        <v>0.57375000000000009</v>
      </c>
      <c r="L17" s="317"/>
      <c r="M17" s="327"/>
    </row>
    <row r="18" spans="1:13">
      <c r="A18" s="312">
        <f t="shared" si="0"/>
        <v>10</v>
      </c>
      <c r="B18" s="328">
        <v>3.2662253614595465E-3</v>
      </c>
      <c r="C18" s="318">
        <v>3.8142634938991104E-3</v>
      </c>
      <c r="D18" s="318">
        <v>4.3663050398956727E-3</v>
      </c>
      <c r="E18" s="318">
        <v>4.9222255830296754E-3</v>
      </c>
      <c r="F18" s="318">
        <v>5.5054647575939987E-3</v>
      </c>
      <c r="G18" s="318">
        <v>6.1262867424179534E-3</v>
      </c>
      <c r="H18" s="318">
        <v>6.7490552856139478E-3</v>
      </c>
      <c r="I18" s="319">
        <v>7.3737239043531301E-3</v>
      </c>
      <c r="K18" s="326">
        <v>0.32625000000000004</v>
      </c>
      <c r="L18" s="317"/>
      <c r="M18" s="327"/>
    </row>
    <row r="19" spans="1:13">
      <c r="A19" s="312">
        <f t="shared" si="0"/>
        <v>11</v>
      </c>
      <c r="B19" s="328">
        <v>3.9150000000000014E-4</v>
      </c>
      <c r="C19" s="318">
        <v>1.0440000000000002E-3</v>
      </c>
      <c r="D19" s="318">
        <v>1.6965000000000005E-3</v>
      </c>
      <c r="E19" s="318">
        <v>2.3490000000000004E-3</v>
      </c>
      <c r="F19" s="318">
        <v>3.0015000000000007E-3</v>
      </c>
      <c r="G19" s="318">
        <v>3.654000000000001E-3</v>
      </c>
      <c r="H19" s="318">
        <v>4.3065000000000013E-3</v>
      </c>
      <c r="I19" s="319">
        <v>4.9590000000000016E-3</v>
      </c>
      <c r="K19" s="326">
        <v>0.20358324437896569</v>
      </c>
      <c r="L19" s="317"/>
      <c r="M19" s="327"/>
    </row>
    <row r="20" spans="1:13">
      <c r="A20" s="312">
        <f t="shared" si="0"/>
        <v>12</v>
      </c>
      <c r="B20" s="328">
        <v>3.1320000000000013E-4</v>
      </c>
      <c r="C20" s="318">
        <v>8.3520000000000035E-4</v>
      </c>
      <c r="D20" s="318">
        <v>1.3572000000000007E-3</v>
      </c>
      <c r="E20" s="318">
        <v>1.8792000000000006E-3</v>
      </c>
      <c r="F20" s="318">
        <v>2.4012000000000009E-3</v>
      </c>
      <c r="G20" s="318">
        <v>2.9232000000000012E-3</v>
      </c>
      <c r="H20" s="318">
        <v>3.4452000000000011E-3</v>
      </c>
      <c r="I20" s="319">
        <v>3.9672000000000015E-3</v>
      </c>
      <c r="K20" s="326">
        <v>0.14254697711257949</v>
      </c>
      <c r="L20" s="317"/>
      <c r="M20" s="327"/>
    </row>
    <row r="21" spans="1:13">
      <c r="A21" s="312">
        <f t="shared" si="0"/>
        <v>13</v>
      </c>
      <c r="B21" s="328">
        <v>2.5056000000000009E-4</v>
      </c>
      <c r="C21" s="318">
        <v>6.6816000000000032E-4</v>
      </c>
      <c r="D21" s="318">
        <v>1.0857600000000005E-3</v>
      </c>
      <c r="E21" s="318">
        <v>1.5033600000000007E-3</v>
      </c>
      <c r="F21" s="318">
        <v>1.9209600000000009E-3</v>
      </c>
      <c r="G21" s="318">
        <v>2.3385600000000008E-3</v>
      </c>
      <c r="H21" s="318">
        <v>2.756160000000001E-3</v>
      </c>
      <c r="I21" s="319">
        <v>3.1737600000000007E-3</v>
      </c>
      <c r="K21" s="326">
        <v>0.11619581766743274</v>
      </c>
      <c r="L21" s="317"/>
      <c r="M21" s="327"/>
    </row>
    <row r="22" spans="1:13">
      <c r="A22" s="312">
        <f t="shared" si="0"/>
        <v>14</v>
      </c>
      <c r="B22" s="328">
        <v>2.004480000000001E-4</v>
      </c>
      <c r="C22" s="318">
        <v>5.3452800000000026E-4</v>
      </c>
      <c r="D22" s="318">
        <v>8.6860800000000042E-4</v>
      </c>
      <c r="E22" s="318">
        <v>1.2026880000000004E-3</v>
      </c>
      <c r="F22" s="318">
        <v>1.5367680000000009E-3</v>
      </c>
      <c r="G22" s="318">
        <v>1.8708480000000009E-3</v>
      </c>
      <c r="H22" s="318">
        <v>2.204928000000001E-3</v>
      </c>
      <c r="I22" s="319">
        <v>2.539008000000001E-3</v>
      </c>
      <c r="K22" s="326">
        <v>0.10614440934591371</v>
      </c>
      <c r="L22" s="317"/>
      <c r="M22" s="327"/>
    </row>
    <row r="23" spans="1:13">
      <c r="A23" s="320">
        <f>A22+1</f>
        <v>15</v>
      </c>
      <c r="B23" s="329">
        <v>1.6035840000000009E-4</v>
      </c>
      <c r="C23" s="322">
        <v>4.2762240000000025E-4</v>
      </c>
      <c r="D23" s="322">
        <v>6.9488640000000038E-4</v>
      </c>
      <c r="E23" s="322">
        <v>9.6215040000000051E-4</v>
      </c>
      <c r="F23" s="322">
        <v>1.2294144000000006E-3</v>
      </c>
      <c r="G23" s="322">
        <v>1.4966784000000008E-3</v>
      </c>
      <c r="H23" s="322">
        <v>1.7639424000000009E-3</v>
      </c>
      <c r="I23" s="323">
        <v>2.0312064000000008E-3</v>
      </c>
      <c r="K23" s="326">
        <v>0.10125000000000002</v>
      </c>
      <c r="L23" s="317"/>
      <c r="M23" s="327"/>
    </row>
    <row r="24" spans="1:13">
      <c r="K24" s="330"/>
      <c r="L24" s="327"/>
    </row>
    <row r="25" spans="1:13">
      <c r="A25" s="305" t="s">
        <v>154</v>
      </c>
    </row>
    <row r="26" spans="1:13">
      <c r="A26" s="305" t="s">
        <v>153</v>
      </c>
    </row>
    <row r="28" spans="1:13">
      <c r="A28" s="324" t="s">
        <v>157</v>
      </c>
    </row>
    <row r="29" spans="1:13">
      <c r="A29" s="305" t="s">
        <v>155</v>
      </c>
    </row>
    <row r="30" spans="1:13">
      <c r="A30" s="305" t="s">
        <v>160</v>
      </c>
    </row>
    <row r="32" spans="1:13">
      <c r="A32" s="324" t="s">
        <v>158</v>
      </c>
    </row>
    <row r="33" spans="1:1">
      <c r="A33" s="305" t="s">
        <v>159</v>
      </c>
    </row>
  </sheetData>
  <mergeCells count="1">
    <mergeCell ref="B7:I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444D-67B4-4689-A2F1-D96AC9A7CA5C}">
  <sheetPr>
    <tabColor rgb="FF00B050"/>
  </sheetPr>
  <dimension ref="A2:Q42"/>
  <sheetViews>
    <sheetView showGridLines="0" workbookViewId="0">
      <selection sqref="A1:XFD1048576"/>
    </sheetView>
  </sheetViews>
  <sheetFormatPr defaultColWidth="8.875" defaultRowHeight="14.25"/>
  <cols>
    <col min="1" max="8" width="11.25" style="305" customWidth="1"/>
    <col min="9" max="10" width="12" style="305" customWidth="1"/>
    <col min="11" max="11" width="13.75" style="305" bestFit="1" customWidth="1"/>
    <col min="12" max="12" width="21.375" style="305" bestFit="1" customWidth="1"/>
    <col min="13" max="17" width="12" style="305" customWidth="1"/>
    <col min="18" max="16384" width="8.875" style="305"/>
  </cols>
  <sheetData>
    <row r="2" spans="1:9" ht="15">
      <c r="A2" s="250" t="s">
        <v>135</v>
      </c>
    </row>
    <row r="3" spans="1:9">
      <c r="A3" s="305" t="s">
        <v>113</v>
      </c>
    </row>
    <row r="5" spans="1:9">
      <c r="A5" s="305" t="s">
        <v>125</v>
      </c>
    </row>
    <row r="6" spans="1:9">
      <c r="A6" s="305" t="s">
        <v>162</v>
      </c>
    </row>
    <row r="7" spans="1:9">
      <c r="A7" s="305" t="s">
        <v>161</v>
      </c>
    </row>
    <row r="9" spans="1:9" ht="14.25" customHeight="1">
      <c r="A9" s="306"/>
      <c r="B9" s="307" t="s">
        <v>89</v>
      </c>
      <c r="C9" s="308"/>
      <c r="D9" s="308"/>
      <c r="E9" s="308"/>
      <c r="F9" s="308"/>
      <c r="G9" s="308"/>
      <c r="H9" s="308"/>
      <c r="I9" s="309"/>
    </row>
    <row r="10" spans="1:9" ht="15">
      <c r="A10" s="311" t="s">
        <v>1</v>
      </c>
      <c r="B10" s="256">
        <v>0</v>
      </c>
      <c r="C10" s="257">
        <v>2.5000000000000001E-3</v>
      </c>
      <c r="D10" s="257">
        <v>5.0000000000000001E-3</v>
      </c>
      <c r="E10" s="257">
        <v>7.4999999999999997E-3</v>
      </c>
      <c r="F10" s="257">
        <v>0.01</v>
      </c>
      <c r="G10" s="257">
        <v>1.2500000000000001E-2</v>
      </c>
      <c r="H10" s="257">
        <v>1.4999999999999999E-2</v>
      </c>
      <c r="I10" s="258">
        <v>1.7500000000000002E-2</v>
      </c>
    </row>
    <row r="11" spans="1:9">
      <c r="A11" s="331">
        <v>1</v>
      </c>
      <c r="B11" s="328">
        <v>5.0384405745357991E-3</v>
      </c>
      <c r="C11" s="332">
        <v>7.465107186928532E-3</v>
      </c>
      <c r="D11" s="332">
        <v>9.8921363419319647E-3</v>
      </c>
      <c r="E11" s="332">
        <v>1.2319524134245264E-2</v>
      </c>
      <c r="F11" s="332">
        <v>1.4747266819037003E-2</v>
      </c>
      <c r="G11" s="332">
        <v>1.7175360650038447E-2</v>
      </c>
      <c r="H11" s="332">
        <v>1.9603802075032768E-2</v>
      </c>
      <c r="I11" s="333">
        <v>2.2032587438937799E-2</v>
      </c>
    </row>
    <row r="12" spans="1:9">
      <c r="A12" s="334">
        <f t="shared" ref="A12:A35" si="0">A11+1</f>
        <v>2</v>
      </c>
      <c r="B12" s="328">
        <v>5.0384405745357991E-3</v>
      </c>
      <c r="C12" s="335">
        <v>7.465107186928532E-3</v>
      </c>
      <c r="D12" s="335">
        <v>9.8921363419319647E-3</v>
      </c>
      <c r="E12" s="335">
        <v>1.2319524134245264E-2</v>
      </c>
      <c r="F12" s="335">
        <v>1.4747266819037003E-2</v>
      </c>
      <c r="G12" s="335">
        <v>1.7175360650038447E-2</v>
      </c>
      <c r="H12" s="335">
        <v>1.9603802075032768E-2</v>
      </c>
      <c r="I12" s="336">
        <v>2.2032587438937799E-2</v>
      </c>
    </row>
    <row r="13" spans="1:9">
      <c r="A13" s="334">
        <f t="shared" si="0"/>
        <v>3</v>
      </c>
      <c r="B13" s="328">
        <v>5.0384405745357991E-3</v>
      </c>
      <c r="C13" s="335">
        <v>7.465107186928532E-3</v>
      </c>
      <c r="D13" s="335">
        <v>9.8921363419319647E-3</v>
      </c>
      <c r="E13" s="335">
        <v>1.2319524134245264E-2</v>
      </c>
      <c r="F13" s="335">
        <v>1.4747266819037003E-2</v>
      </c>
      <c r="G13" s="335">
        <v>1.7175360650038447E-2</v>
      </c>
      <c r="H13" s="335">
        <v>1.9603802075032768E-2</v>
      </c>
      <c r="I13" s="336">
        <v>2.2032587438937799E-2</v>
      </c>
    </row>
    <row r="14" spans="1:9">
      <c r="A14" s="334">
        <f t="shared" si="0"/>
        <v>4</v>
      </c>
      <c r="B14" s="328">
        <v>5.0384405745357991E-3</v>
      </c>
      <c r="C14" s="335">
        <v>7.465107186928532E-3</v>
      </c>
      <c r="D14" s="335">
        <v>9.8921363419319647E-3</v>
      </c>
      <c r="E14" s="335">
        <v>1.2319524134245264E-2</v>
      </c>
      <c r="F14" s="335">
        <v>1.4747266819037003E-2</v>
      </c>
      <c r="G14" s="335">
        <v>1.7175360650038447E-2</v>
      </c>
      <c r="H14" s="335">
        <v>1.9603802075032768E-2</v>
      </c>
      <c r="I14" s="336">
        <v>2.2032587438937799E-2</v>
      </c>
    </row>
    <row r="15" spans="1:9">
      <c r="A15" s="334">
        <f t="shared" si="0"/>
        <v>5</v>
      </c>
      <c r="B15" s="328">
        <v>5.0384405745357991E-3</v>
      </c>
      <c r="C15" s="335">
        <v>7.465107186928532E-3</v>
      </c>
      <c r="D15" s="335">
        <v>9.8921363419319647E-3</v>
      </c>
      <c r="E15" s="335">
        <v>1.2319524134245264E-2</v>
      </c>
      <c r="F15" s="335">
        <v>1.4747266819037003E-2</v>
      </c>
      <c r="G15" s="335">
        <v>1.7175360650038447E-2</v>
      </c>
      <c r="H15" s="335">
        <v>1.9603802075032768E-2</v>
      </c>
      <c r="I15" s="336">
        <v>2.2032587438937799E-2</v>
      </c>
    </row>
    <row r="16" spans="1:9">
      <c r="A16" s="334">
        <f t="shared" si="0"/>
        <v>6</v>
      </c>
      <c r="B16" s="328">
        <v>5.0384405745357991E-3</v>
      </c>
      <c r="C16" s="335">
        <v>7.465107186928532E-3</v>
      </c>
      <c r="D16" s="335">
        <v>9.8921363419319647E-3</v>
      </c>
      <c r="E16" s="335">
        <v>1.2319524134245264E-2</v>
      </c>
      <c r="F16" s="335">
        <v>1.4747266819037003E-2</v>
      </c>
      <c r="G16" s="335">
        <v>1.7175360650038447E-2</v>
      </c>
      <c r="H16" s="335">
        <v>1.9603802075032768E-2</v>
      </c>
      <c r="I16" s="336">
        <v>2.2032587438937799E-2</v>
      </c>
    </row>
    <row r="17" spans="1:17">
      <c r="A17" s="334">
        <f t="shared" si="0"/>
        <v>7</v>
      </c>
      <c r="B17" s="328">
        <v>5.0384405745357991E-3</v>
      </c>
      <c r="C17" s="335">
        <v>7.465107186928532E-3</v>
      </c>
      <c r="D17" s="335">
        <v>9.8921363419319647E-3</v>
      </c>
      <c r="E17" s="335">
        <v>1.2319524134245264E-2</v>
      </c>
      <c r="F17" s="335">
        <v>1.4747266819037003E-2</v>
      </c>
      <c r="G17" s="335">
        <v>1.7175360650038447E-2</v>
      </c>
      <c r="H17" s="335">
        <v>1.9603802075032768E-2</v>
      </c>
      <c r="I17" s="336">
        <v>2.2032587438937799E-2</v>
      </c>
    </row>
    <row r="18" spans="1:17">
      <c r="A18" s="334">
        <f t="shared" si="0"/>
        <v>8</v>
      </c>
      <c r="B18" s="328">
        <v>5.0384405745357991E-3</v>
      </c>
      <c r="C18" s="335">
        <v>7.465107186928532E-3</v>
      </c>
      <c r="D18" s="335">
        <v>9.8921363419319647E-3</v>
      </c>
      <c r="E18" s="335">
        <v>1.2319524134245264E-2</v>
      </c>
      <c r="F18" s="335">
        <v>1.4747266819037003E-2</v>
      </c>
      <c r="G18" s="335">
        <v>1.7175360650038447E-2</v>
      </c>
      <c r="H18" s="335">
        <v>1.9603802075032768E-2</v>
      </c>
      <c r="I18" s="336">
        <v>2.2032587438937799E-2</v>
      </c>
    </row>
    <row r="19" spans="1:17">
      <c r="A19" s="334">
        <f t="shared" si="0"/>
        <v>9</v>
      </c>
      <c r="B19" s="328">
        <v>5.0384405745357991E-3</v>
      </c>
      <c r="C19" s="335">
        <v>7.465107186928532E-3</v>
      </c>
      <c r="D19" s="335">
        <v>9.8921363419319647E-3</v>
      </c>
      <c r="E19" s="335">
        <v>1.2319524134245264E-2</v>
      </c>
      <c r="F19" s="335">
        <v>1.4747266819037003E-2</v>
      </c>
      <c r="G19" s="335">
        <v>1.7175360650038447E-2</v>
      </c>
      <c r="H19" s="335">
        <v>1.9603802075032768E-2</v>
      </c>
      <c r="I19" s="336">
        <v>2.2032587438937799E-2</v>
      </c>
    </row>
    <row r="20" spans="1:17">
      <c r="A20" s="334">
        <f t="shared" si="0"/>
        <v>10</v>
      </c>
      <c r="B20" s="328">
        <v>5.0384405745357991E-3</v>
      </c>
      <c r="C20" s="335">
        <v>7.465107186928532E-3</v>
      </c>
      <c r="D20" s="335">
        <v>9.8921363419319647E-3</v>
      </c>
      <c r="E20" s="335">
        <v>1.2319524134245264E-2</v>
      </c>
      <c r="F20" s="335">
        <v>1.4747266819037003E-2</v>
      </c>
      <c r="G20" s="335">
        <v>1.7175360650038447E-2</v>
      </c>
      <c r="H20" s="335">
        <v>1.9603802075032768E-2</v>
      </c>
      <c r="I20" s="336">
        <v>2.2032587438937799E-2</v>
      </c>
    </row>
    <row r="21" spans="1:17">
      <c r="A21" s="334">
        <f t="shared" si="0"/>
        <v>11</v>
      </c>
      <c r="B21" s="328">
        <v>5.0384405745357991E-3</v>
      </c>
      <c r="C21" s="335">
        <v>7.465107186928532E-3</v>
      </c>
      <c r="D21" s="335">
        <v>9.8921363419319647E-3</v>
      </c>
      <c r="E21" s="335">
        <v>1.2319524134245264E-2</v>
      </c>
      <c r="F21" s="335">
        <v>1.4747266819037003E-2</v>
      </c>
      <c r="G21" s="335">
        <v>1.7175360650038447E-2</v>
      </c>
      <c r="H21" s="335">
        <v>1.9603802075032768E-2</v>
      </c>
      <c r="I21" s="336">
        <v>2.2032587438937799E-2</v>
      </c>
    </row>
    <row r="22" spans="1:17">
      <c r="A22" s="334">
        <f t="shared" si="0"/>
        <v>12</v>
      </c>
      <c r="B22" s="328">
        <v>5.0384405745357991E-3</v>
      </c>
      <c r="C22" s="335">
        <v>7.465107186928532E-3</v>
      </c>
      <c r="D22" s="335">
        <v>9.8921363419319647E-3</v>
      </c>
      <c r="E22" s="335">
        <v>1.2319524134245264E-2</v>
      </c>
      <c r="F22" s="335">
        <v>1.4747266819037003E-2</v>
      </c>
      <c r="G22" s="335">
        <v>1.7175360650038447E-2</v>
      </c>
      <c r="H22" s="335">
        <v>1.9603802075032768E-2</v>
      </c>
      <c r="I22" s="336">
        <v>2.2032587438937799E-2</v>
      </c>
    </row>
    <row r="23" spans="1:17">
      <c r="A23" s="334">
        <f t="shared" si="0"/>
        <v>13</v>
      </c>
      <c r="B23" s="328">
        <v>5.0384405745357991E-3</v>
      </c>
      <c r="C23" s="335">
        <v>7.465107186928532E-3</v>
      </c>
      <c r="D23" s="335">
        <v>9.8921363419319647E-3</v>
      </c>
      <c r="E23" s="335">
        <v>1.2319524134245264E-2</v>
      </c>
      <c r="F23" s="335">
        <v>1.4747266819037003E-2</v>
      </c>
      <c r="G23" s="335">
        <v>1.7175360650038447E-2</v>
      </c>
      <c r="H23" s="335">
        <v>1.9603802075032768E-2</v>
      </c>
      <c r="I23" s="336">
        <v>2.2032587438937799E-2</v>
      </c>
    </row>
    <row r="24" spans="1:17">
      <c r="A24" s="334">
        <f t="shared" si="0"/>
        <v>14</v>
      </c>
      <c r="B24" s="328">
        <v>5.0384405745357991E-3</v>
      </c>
      <c r="C24" s="335">
        <v>7.465107186928532E-3</v>
      </c>
      <c r="D24" s="335">
        <v>9.8921363419319647E-3</v>
      </c>
      <c r="E24" s="335">
        <v>1.2319524134245264E-2</v>
      </c>
      <c r="F24" s="335">
        <v>1.4747266819037003E-2</v>
      </c>
      <c r="G24" s="335">
        <v>1.7175360650038447E-2</v>
      </c>
      <c r="H24" s="335">
        <v>1.9603802075032768E-2</v>
      </c>
      <c r="I24" s="336">
        <v>2.2032587438937799E-2</v>
      </c>
    </row>
    <row r="25" spans="1:17">
      <c r="A25" s="334">
        <f t="shared" si="0"/>
        <v>15</v>
      </c>
      <c r="B25" s="328">
        <v>5.0384405745357991E-3</v>
      </c>
      <c r="C25" s="335">
        <v>7.465107186928532E-3</v>
      </c>
      <c r="D25" s="335">
        <v>9.8921363419319647E-3</v>
      </c>
      <c r="E25" s="335">
        <v>1.2319524134245264E-2</v>
      </c>
      <c r="F25" s="335">
        <v>1.4747266819037003E-2</v>
      </c>
      <c r="G25" s="335">
        <v>1.7175360650038447E-2</v>
      </c>
      <c r="H25" s="335">
        <v>1.9603802075032768E-2</v>
      </c>
      <c r="I25" s="336">
        <v>2.2032587438937799E-2</v>
      </c>
    </row>
    <row r="26" spans="1:17">
      <c r="A26" s="334">
        <f t="shared" si="0"/>
        <v>16</v>
      </c>
      <c r="B26" s="328">
        <v>5.0384405745357991E-3</v>
      </c>
      <c r="C26" s="335">
        <v>7.465107186928532E-3</v>
      </c>
      <c r="D26" s="335">
        <v>9.8921363419319647E-3</v>
      </c>
      <c r="E26" s="335">
        <v>1.2319524134245264E-2</v>
      </c>
      <c r="F26" s="335">
        <v>1.4747266819037003E-2</v>
      </c>
      <c r="G26" s="335">
        <v>1.7175360650038447E-2</v>
      </c>
      <c r="H26" s="335">
        <v>1.9603802075032768E-2</v>
      </c>
      <c r="I26" s="336">
        <v>2.2032587438937799E-2</v>
      </c>
    </row>
    <row r="27" spans="1:17">
      <c r="A27" s="334">
        <f t="shared" si="0"/>
        <v>17</v>
      </c>
      <c r="B27" s="328">
        <v>5.0384405745357991E-3</v>
      </c>
      <c r="C27" s="335">
        <v>7.465107186928532E-3</v>
      </c>
      <c r="D27" s="335">
        <v>9.8921363419319647E-3</v>
      </c>
      <c r="E27" s="335">
        <v>1.2319524134245264E-2</v>
      </c>
      <c r="F27" s="335">
        <v>1.4747266819037003E-2</v>
      </c>
      <c r="G27" s="335">
        <v>1.7175360650038447E-2</v>
      </c>
      <c r="H27" s="335">
        <v>1.9603802075032768E-2</v>
      </c>
      <c r="I27" s="336">
        <v>2.2032587438937799E-2</v>
      </c>
    </row>
    <row r="28" spans="1:17">
      <c r="A28" s="334">
        <f t="shared" si="0"/>
        <v>18</v>
      </c>
      <c r="B28" s="328">
        <v>5.0384405745357991E-3</v>
      </c>
      <c r="C28" s="335">
        <v>7.465107186928532E-3</v>
      </c>
      <c r="D28" s="335">
        <v>9.8921363419319647E-3</v>
      </c>
      <c r="E28" s="335">
        <v>1.2319524134245264E-2</v>
      </c>
      <c r="F28" s="335">
        <v>1.4747266819037003E-2</v>
      </c>
      <c r="G28" s="335">
        <v>1.7175360650038447E-2</v>
      </c>
      <c r="H28" s="335">
        <v>1.9603802075032768E-2</v>
      </c>
      <c r="I28" s="336">
        <v>2.2032587438937799E-2</v>
      </c>
      <c r="J28" s="337"/>
      <c r="K28" s="337"/>
      <c r="L28" s="337"/>
      <c r="M28" s="338"/>
      <c r="N28" s="338"/>
      <c r="O28" s="338"/>
      <c r="P28" s="338"/>
      <c r="Q28" s="338"/>
    </row>
    <row r="29" spans="1:17">
      <c r="A29" s="334">
        <f t="shared" si="0"/>
        <v>19</v>
      </c>
      <c r="B29" s="328">
        <v>5.0384405745357991E-3</v>
      </c>
      <c r="C29" s="335">
        <v>7.465107186928532E-3</v>
      </c>
      <c r="D29" s="335">
        <v>9.8921363419319647E-3</v>
      </c>
      <c r="E29" s="335">
        <v>1.2319524134245264E-2</v>
      </c>
      <c r="F29" s="335">
        <v>1.4747266819037003E-2</v>
      </c>
      <c r="G29" s="335">
        <v>1.7175360650038447E-2</v>
      </c>
      <c r="H29" s="335">
        <v>1.9603802075032768E-2</v>
      </c>
      <c r="I29" s="336">
        <v>2.2032587438937799E-2</v>
      </c>
      <c r="J29" s="337"/>
      <c r="K29" s="337"/>
      <c r="L29" s="337"/>
      <c r="M29" s="338"/>
      <c r="N29" s="338"/>
      <c r="O29" s="338"/>
      <c r="P29" s="338"/>
      <c r="Q29" s="338"/>
    </row>
    <row r="30" spans="1:17">
      <c r="A30" s="334">
        <f t="shared" si="0"/>
        <v>20</v>
      </c>
      <c r="B30" s="328">
        <v>5.0384405745357991E-3</v>
      </c>
      <c r="C30" s="335">
        <v>7.465107186928532E-3</v>
      </c>
      <c r="D30" s="335">
        <v>9.8921363419319647E-3</v>
      </c>
      <c r="E30" s="335">
        <v>1.2319524134245264E-2</v>
      </c>
      <c r="F30" s="335">
        <v>1.4747266819037003E-2</v>
      </c>
      <c r="G30" s="335">
        <v>1.7175360650038447E-2</v>
      </c>
      <c r="H30" s="335">
        <v>1.9603802075032768E-2</v>
      </c>
      <c r="I30" s="336">
        <v>2.2032587438937799E-2</v>
      </c>
    </row>
    <row r="31" spans="1:17">
      <c r="A31" s="334">
        <f t="shared" si="0"/>
        <v>21</v>
      </c>
      <c r="B31" s="328">
        <v>5.0384405745357991E-3</v>
      </c>
      <c r="C31" s="335">
        <v>7.465107186928532E-3</v>
      </c>
      <c r="D31" s="335">
        <v>9.8921363419319647E-3</v>
      </c>
      <c r="E31" s="335">
        <v>1.2319524134245264E-2</v>
      </c>
      <c r="F31" s="335">
        <v>1.4747266819037003E-2</v>
      </c>
      <c r="G31" s="335">
        <v>1.7175360650038447E-2</v>
      </c>
      <c r="H31" s="335">
        <v>1.9603802075032768E-2</v>
      </c>
      <c r="I31" s="336">
        <v>2.2032587438937799E-2</v>
      </c>
    </row>
    <row r="32" spans="1:17">
      <c r="A32" s="334">
        <f t="shared" si="0"/>
        <v>22</v>
      </c>
      <c r="B32" s="328">
        <v>5.0384405745357991E-3</v>
      </c>
      <c r="C32" s="335">
        <v>7.465107186928532E-3</v>
      </c>
      <c r="D32" s="335">
        <v>9.8921363419319647E-3</v>
      </c>
      <c r="E32" s="335">
        <v>1.2319524134245264E-2</v>
      </c>
      <c r="F32" s="335">
        <v>1.4747266819037003E-2</v>
      </c>
      <c r="G32" s="335">
        <v>1.7175360650038447E-2</v>
      </c>
      <c r="H32" s="335">
        <v>1.9603802075032768E-2</v>
      </c>
      <c r="I32" s="336">
        <v>2.2032587438937799E-2</v>
      </c>
    </row>
    <row r="33" spans="1:9">
      <c r="A33" s="334">
        <f t="shared" si="0"/>
        <v>23</v>
      </c>
      <c r="B33" s="328">
        <v>5.0384405745357991E-3</v>
      </c>
      <c r="C33" s="335">
        <v>7.465107186928532E-3</v>
      </c>
      <c r="D33" s="335">
        <v>9.8921363419319647E-3</v>
      </c>
      <c r="E33" s="335">
        <v>1.2319524134245264E-2</v>
      </c>
      <c r="F33" s="335">
        <v>1.4747266819037003E-2</v>
      </c>
      <c r="G33" s="335">
        <v>1.7175360650038447E-2</v>
      </c>
      <c r="H33" s="335">
        <v>1.9603802075032768E-2</v>
      </c>
      <c r="I33" s="336">
        <v>2.2032587438937799E-2</v>
      </c>
    </row>
    <row r="34" spans="1:9">
      <c r="A34" s="334">
        <f t="shared" si="0"/>
        <v>24</v>
      </c>
      <c r="B34" s="328">
        <v>5.0384405745357991E-3</v>
      </c>
      <c r="C34" s="335">
        <v>7.4651071869285303E-3</v>
      </c>
      <c r="D34" s="335">
        <v>9.8921363419319595E-3</v>
      </c>
      <c r="E34" s="335">
        <v>1.2319524134245301E-2</v>
      </c>
      <c r="F34" s="335">
        <v>1.4747266819037E-2</v>
      </c>
      <c r="G34" s="335">
        <v>1.7175360650038399E-2</v>
      </c>
      <c r="H34" s="335">
        <v>1.9603802075032799E-2</v>
      </c>
      <c r="I34" s="336">
        <v>2.2032587438937799E-2</v>
      </c>
    </row>
    <row r="35" spans="1:9">
      <c r="A35" s="339">
        <f t="shared" si="0"/>
        <v>25</v>
      </c>
      <c r="B35" s="329">
        <v>5.0384405745357991E-3</v>
      </c>
      <c r="C35" s="340">
        <v>7.4651071869285303E-3</v>
      </c>
      <c r="D35" s="340">
        <v>9.8921363419319595E-3</v>
      </c>
      <c r="E35" s="340">
        <v>1.2319524134245301E-2</v>
      </c>
      <c r="F35" s="340">
        <v>1.4747266819037E-2</v>
      </c>
      <c r="G35" s="340">
        <v>1.7175360650038399E-2</v>
      </c>
      <c r="H35" s="340">
        <v>1.9603802075032799E-2</v>
      </c>
      <c r="I35" s="341">
        <v>2.2032587438937799E-2</v>
      </c>
    </row>
    <row r="37" spans="1:9">
      <c r="A37" s="324" t="s">
        <v>157</v>
      </c>
    </row>
    <row r="38" spans="1:9">
      <c r="A38" s="305" t="s">
        <v>155</v>
      </c>
    </row>
    <row r="39" spans="1:9">
      <c r="A39" s="305" t="s">
        <v>160</v>
      </c>
    </row>
    <row r="41" spans="1:9">
      <c r="A41" s="324" t="s">
        <v>158</v>
      </c>
    </row>
    <row r="42" spans="1:9">
      <c r="A42" s="305" t="s">
        <v>159</v>
      </c>
    </row>
  </sheetData>
  <mergeCells count="1">
    <mergeCell ref="B9:I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A9C5-6410-437A-AB74-5DD47128D354}">
  <sheetPr>
    <tabColor rgb="FF00B050"/>
  </sheetPr>
  <dimension ref="A1:AZ251"/>
  <sheetViews>
    <sheetView workbookViewId="0"/>
  </sheetViews>
  <sheetFormatPr defaultColWidth="8.875" defaultRowHeight="14.25"/>
  <cols>
    <col min="1" max="1" width="51.875" customWidth="1"/>
    <col min="2" max="2" width="26.625" bestFit="1" customWidth="1"/>
    <col min="3" max="3" width="45.25" bestFit="1" customWidth="1"/>
    <col min="4" max="4" width="21.125" customWidth="1"/>
    <col min="5" max="5" width="22.75" customWidth="1"/>
    <col min="6" max="6" width="21.875" customWidth="1"/>
    <col min="7" max="7" width="12" customWidth="1"/>
    <col min="8" max="8" width="17.25" bestFit="1" customWidth="1"/>
    <col min="9" max="10" width="12" customWidth="1"/>
    <col min="11" max="11" width="13.75" bestFit="1" customWidth="1"/>
    <col min="12" max="12" width="21.375" bestFit="1" customWidth="1"/>
    <col min="13" max="17" width="12" customWidth="1"/>
    <col min="19" max="19" width="11.125" bestFit="1" customWidth="1"/>
  </cols>
  <sheetData>
    <row r="1" spans="1:20" ht="15" thickBot="1">
      <c r="I1" s="27"/>
      <c r="J1" s="27"/>
      <c r="K1" s="27"/>
      <c r="L1" s="27"/>
      <c r="M1" s="27"/>
      <c r="N1" s="27"/>
      <c r="O1" s="27"/>
      <c r="P1" s="27"/>
      <c r="Q1" s="27"/>
      <c r="R1" s="27"/>
      <c r="S1" s="27"/>
      <c r="T1" s="27"/>
    </row>
    <row r="2" spans="1:20" ht="18">
      <c r="A2" s="281" t="s">
        <v>53</v>
      </c>
      <c r="B2" s="283"/>
      <c r="C2" s="283" t="s">
        <v>54</v>
      </c>
      <c r="D2" s="284"/>
      <c r="I2" s="27"/>
      <c r="J2" s="9"/>
      <c r="K2" s="9"/>
      <c r="L2" s="9"/>
      <c r="M2" s="9"/>
      <c r="N2" s="9"/>
      <c r="O2" s="27"/>
      <c r="P2" s="27"/>
      <c r="Q2" s="27"/>
      <c r="R2" s="27"/>
      <c r="S2" s="27"/>
      <c r="T2" s="27"/>
    </row>
    <row r="3" spans="1:20" ht="15" thickBot="1">
      <c r="A3" s="79"/>
      <c r="B3" s="80"/>
      <c r="C3" s="19"/>
      <c r="D3" s="67"/>
      <c r="I3" s="27"/>
      <c r="J3" s="9"/>
      <c r="K3" s="9"/>
      <c r="L3" s="9"/>
      <c r="M3" s="9"/>
      <c r="N3" s="9"/>
      <c r="O3" s="27"/>
      <c r="P3" s="27"/>
      <c r="Q3" s="27"/>
      <c r="R3" s="27"/>
      <c r="S3" s="27"/>
      <c r="T3" s="27"/>
    </row>
    <row r="4" spans="1:20" ht="21" thickBot="1">
      <c r="A4" s="42" t="s">
        <v>52</v>
      </c>
      <c r="B4" s="7" t="e">
        <f>#REF!</f>
        <v>#REF!</v>
      </c>
      <c r="C4" s="89" t="str">
        <f>_xlfn.CONCAT("Samlet Fee (år ",B13,"):")</f>
        <v>Samlet Fee (år 8):</v>
      </c>
      <c r="D4" s="90" t="e">
        <f>(HLOOKUP(MROUND($B$8,0.0025),$B$121:$H$136,$B$13+1)+HLOOKUP(MROUND($B$9,0.0025),$B$121:$H$136,$B$13+1))/2-L4+IF($B$11="Predominantly European",$L$4,IF(B11="Predominantly US ",$L$8,$L$6))</f>
        <v>#N/A</v>
      </c>
      <c r="I4" s="27"/>
      <c r="J4" s="9"/>
      <c r="K4" s="228" t="str">
        <f>_xlfn.CONCAT("Performance fee EU (år ",J11,"):")</f>
        <v>Performance fee EU (år ):</v>
      </c>
      <c r="L4" s="229" t="e">
        <f>((HLOOKUP(MROUND($B$8,0.0025),$B$121:$H$136,$B$13+1)-$B$8-$B$32)+(HLOOKUP(MROUND($B$9,0.0025),$B$121:$H$136,$B$13+1)-$B$9-$B$32))/2</f>
        <v>#N/A</v>
      </c>
      <c r="M4" s="9"/>
      <c r="N4" s="9"/>
      <c r="O4" s="27"/>
      <c r="P4" s="27"/>
      <c r="Q4" s="27"/>
      <c r="R4" s="27"/>
      <c r="S4" s="27"/>
      <c r="T4" s="27"/>
    </row>
    <row r="5" spans="1:20" ht="15">
      <c r="A5" s="42" t="s">
        <v>43</v>
      </c>
      <c r="B5" s="249" t="s">
        <v>44</v>
      </c>
      <c r="C5" s="125"/>
      <c r="D5" s="82"/>
      <c r="I5" s="27"/>
      <c r="J5" s="9"/>
      <c r="K5" s="93"/>
      <c r="L5" s="9"/>
      <c r="M5" s="9"/>
      <c r="N5" s="9"/>
      <c r="O5" s="27"/>
      <c r="P5" s="27"/>
      <c r="Q5" s="27"/>
      <c r="R5" s="27"/>
      <c r="S5" s="27"/>
      <c r="T5" s="27"/>
    </row>
    <row r="6" spans="1:20" ht="20.25">
      <c r="A6" s="42"/>
      <c r="B6" s="81"/>
      <c r="C6" s="83"/>
      <c r="D6" s="67"/>
      <c r="F6" s="30"/>
      <c r="I6" s="27"/>
      <c r="J6" s="9"/>
      <c r="K6" s="228" t="str">
        <f>_xlfn.CONCAT("Performance fee EU/US (år ",J11,"):")</f>
        <v>Performance fee EU/US (år ):</v>
      </c>
      <c r="L6" s="229" t="e">
        <f>(((HLOOKUP(MROUND($B$8,0.0025),$B$121:$H$136,$B$13+1)-$B$8-$B$32)+(HLOOKUP(MROUND($B$9,0.0025),$B$121:$H$136,$B$13+1)-$B$9-$B$32))/2)*1.05</f>
        <v>#N/A</v>
      </c>
      <c r="M6" s="9"/>
      <c r="N6" s="9"/>
      <c r="O6" s="27"/>
      <c r="P6" s="27"/>
      <c r="Q6" s="27"/>
      <c r="R6" s="27"/>
      <c r="S6" s="27"/>
      <c r="T6" s="27"/>
    </row>
    <row r="7" spans="1:20" ht="20.25">
      <c r="A7" s="42" t="s">
        <v>9</v>
      </c>
      <c r="B7" s="81"/>
      <c r="C7" s="83"/>
      <c r="D7" s="67"/>
      <c r="I7" s="27"/>
      <c r="J7" s="9"/>
      <c r="K7" s="228"/>
      <c r="L7" s="94"/>
      <c r="M7" s="9"/>
      <c r="N7" s="9"/>
      <c r="O7" s="27"/>
      <c r="P7" s="27"/>
      <c r="Q7" s="27"/>
      <c r="R7" s="27"/>
      <c r="S7" s="27"/>
      <c r="T7" s="27"/>
    </row>
    <row r="8" spans="1:20" ht="20.25">
      <c r="A8" s="42" t="s">
        <v>10</v>
      </c>
      <c r="B8" s="164">
        <v>0.01</v>
      </c>
      <c r="C8" s="83"/>
      <c r="D8" s="67"/>
      <c r="I8" s="27"/>
      <c r="J8" s="9"/>
      <c r="K8" s="228" t="str">
        <f>_xlfn.CONCAT("Performance fee US (år ",J11,"):")</f>
        <v>Performance fee US (år ):</v>
      </c>
      <c r="L8" s="229" t="e">
        <f>(((HLOOKUP(MROUND($B$8,0.0025),$B$121:$H$136,$B$13+1)-$B$8-$B$32)+(HLOOKUP(MROUND($B$9,0.0025),$B$121:$H$136,$B$13+1)-$B$9-$B$32))/2)*1.1</f>
        <v>#N/A</v>
      </c>
      <c r="M8" s="9"/>
      <c r="N8" s="9"/>
      <c r="O8" s="27"/>
      <c r="P8" s="27"/>
      <c r="Q8" s="27"/>
      <c r="R8" s="27"/>
      <c r="S8" s="27"/>
      <c r="T8" s="27"/>
    </row>
    <row r="9" spans="1:20" ht="15">
      <c r="A9" s="42" t="s">
        <v>11</v>
      </c>
      <c r="B9" s="164">
        <v>0.01</v>
      </c>
      <c r="C9" s="83"/>
      <c r="D9" s="67"/>
      <c r="F9" s="2"/>
      <c r="H9" s="30"/>
      <c r="I9" s="27"/>
      <c r="J9" s="9"/>
      <c r="K9" s="9"/>
      <c r="L9" s="9"/>
      <c r="M9" s="9"/>
      <c r="N9" s="9"/>
      <c r="O9" s="27"/>
      <c r="P9" s="27"/>
      <c r="Q9" s="27"/>
      <c r="R9" s="27"/>
      <c r="S9" s="27"/>
      <c r="T9" s="27"/>
    </row>
    <row r="10" spans="1:20" ht="15">
      <c r="A10" s="42"/>
      <c r="B10" s="85"/>
      <c r="C10" s="83"/>
      <c r="D10" s="67"/>
      <c r="I10" s="27"/>
      <c r="J10" s="9"/>
      <c r="K10" s="9"/>
      <c r="L10" s="9"/>
      <c r="M10" s="9"/>
      <c r="N10" s="9"/>
      <c r="O10" s="27"/>
      <c r="P10" s="27"/>
      <c r="Q10" s="27"/>
      <c r="R10" s="27"/>
      <c r="S10" s="27"/>
      <c r="T10" s="27"/>
    </row>
    <row r="11" spans="1:20" ht="15">
      <c r="A11" s="241" t="s">
        <v>59</v>
      </c>
      <c r="B11" s="242" t="s">
        <v>60</v>
      </c>
      <c r="C11" s="83"/>
      <c r="D11" s="67"/>
      <c r="I11" s="27"/>
      <c r="J11" s="9"/>
      <c r="K11" s="9"/>
      <c r="L11" s="9"/>
      <c r="M11" s="9"/>
      <c r="N11" s="9"/>
      <c r="O11" s="27"/>
      <c r="P11" s="27"/>
      <c r="Q11" s="27"/>
      <c r="R11" s="27"/>
      <c r="S11" s="27"/>
      <c r="T11" s="27"/>
    </row>
    <row r="12" spans="1:20" ht="15">
      <c r="A12" s="84"/>
      <c r="B12" s="81"/>
      <c r="C12" s="83"/>
      <c r="D12" s="67"/>
      <c r="I12" s="27"/>
      <c r="J12" s="9"/>
      <c r="K12" s="9"/>
      <c r="L12" s="9"/>
      <c r="M12" s="9"/>
      <c r="N12" s="9"/>
      <c r="O12" s="27"/>
      <c r="P12" s="27"/>
      <c r="Q12" s="27"/>
      <c r="R12" s="27"/>
      <c r="S12" s="27"/>
      <c r="T12" s="27"/>
    </row>
    <row r="13" spans="1:20" ht="15.75" thickBot="1">
      <c r="A13" s="87" t="s">
        <v>55</v>
      </c>
      <c r="B13" s="88">
        <v>8</v>
      </c>
      <c r="C13" s="68"/>
      <c r="D13" s="86"/>
      <c r="I13" s="27"/>
      <c r="J13" s="27"/>
      <c r="K13" s="27"/>
      <c r="L13" s="27"/>
      <c r="M13" s="27"/>
      <c r="N13" s="27"/>
      <c r="O13" s="27"/>
      <c r="P13" s="27"/>
      <c r="Q13" s="27"/>
      <c r="R13" s="27"/>
      <c r="S13" s="27"/>
      <c r="T13" s="27"/>
    </row>
    <row r="14" spans="1:20" ht="15.75" thickBot="1">
      <c r="A14" s="28"/>
      <c r="B14" s="165"/>
      <c r="D14" s="7"/>
      <c r="I14" s="27"/>
      <c r="J14" s="27"/>
      <c r="K14" s="27"/>
      <c r="L14" s="27"/>
      <c r="M14" s="27"/>
      <c r="N14" s="27"/>
      <c r="O14" s="27"/>
      <c r="P14" s="27"/>
      <c r="Q14" s="27"/>
      <c r="R14" s="27"/>
      <c r="S14" s="27"/>
      <c r="T14" s="27"/>
    </row>
    <row r="15" spans="1:20" ht="15" thickBot="1">
      <c r="A15" s="166" t="s">
        <v>67</v>
      </c>
      <c r="B15" s="167">
        <v>100</v>
      </c>
      <c r="I15" s="27"/>
      <c r="J15" s="27"/>
      <c r="K15" s="27"/>
      <c r="L15" s="27"/>
      <c r="M15" s="27"/>
      <c r="N15" s="27"/>
      <c r="O15" s="27"/>
      <c r="P15" s="27"/>
      <c r="Q15" s="27"/>
      <c r="R15" s="27"/>
      <c r="S15" s="27"/>
      <c r="T15" s="27"/>
    </row>
    <row r="16" spans="1:20">
      <c r="I16" s="27"/>
      <c r="J16" s="27"/>
      <c r="K16" s="27"/>
      <c r="L16" s="27"/>
      <c r="M16" s="27"/>
      <c r="N16" s="27"/>
      <c r="O16" s="27"/>
      <c r="P16" s="27"/>
      <c r="Q16" s="27"/>
      <c r="R16" s="27"/>
      <c r="S16" s="27"/>
      <c r="T16" s="27"/>
    </row>
    <row r="17" spans="1:20" ht="20.25">
      <c r="A17" s="78" t="s">
        <v>0</v>
      </c>
      <c r="I17" s="27"/>
      <c r="J17" s="27"/>
      <c r="K17" s="27"/>
      <c r="L17" s="27"/>
      <c r="M17" s="27"/>
      <c r="N17" s="27"/>
      <c r="O17" s="27"/>
      <c r="P17" s="27"/>
      <c r="Q17" s="27"/>
      <c r="R17" s="27"/>
      <c r="S17" s="27"/>
      <c r="T17" s="27"/>
    </row>
    <row r="18" spans="1:20" ht="15" thickBot="1">
      <c r="G18" s="3"/>
      <c r="H18" s="3"/>
      <c r="I18" s="230"/>
      <c r="J18" s="27"/>
      <c r="K18" s="27"/>
      <c r="L18" s="27"/>
      <c r="M18" s="27"/>
      <c r="N18" s="27"/>
      <c r="O18" s="27"/>
      <c r="P18" s="27"/>
      <c r="Q18" s="27"/>
      <c r="R18" s="27"/>
      <c r="S18" s="27"/>
      <c r="T18" s="27"/>
    </row>
    <row r="19" spans="1:20" ht="15">
      <c r="A19" s="40" t="s">
        <v>15</v>
      </c>
      <c r="B19" s="41"/>
      <c r="C19" s="3"/>
      <c r="D19" s="3"/>
    </row>
    <row r="20" spans="1:20">
      <c r="A20" s="42" t="s">
        <v>56</v>
      </c>
      <c r="B20" s="95" t="e">
        <f>VLOOKUP($A20,#REF!,4,FALSE)</f>
        <v>#REF!</v>
      </c>
      <c r="D20" s="3"/>
      <c r="E20" s="3"/>
    </row>
    <row r="21" spans="1:20" s="3" customFormat="1" ht="15" thickBot="1">
      <c r="A21" s="43" t="s">
        <v>57</v>
      </c>
      <c r="B21" s="96">
        <v>7</v>
      </c>
      <c r="C21"/>
      <c r="G21"/>
      <c r="H21"/>
      <c r="I21"/>
    </row>
    <row r="22" spans="1:20" s="3" customFormat="1" ht="14.25" customHeight="1" thickBot="1">
      <c r="A22" s="33"/>
      <c r="F22"/>
      <c r="G22"/>
    </row>
    <row r="23" spans="1:20" s="3" customFormat="1" ht="15">
      <c r="A23" s="40" t="s">
        <v>22</v>
      </c>
      <c r="B23" s="44"/>
      <c r="C23" s="113"/>
      <c r="D23" s="7"/>
      <c r="F23"/>
      <c r="G23"/>
    </row>
    <row r="24" spans="1:20" s="3" customFormat="1">
      <c r="A24" s="42" t="s">
        <v>20</v>
      </c>
      <c r="B24" s="47" t="e">
        <f>VLOOKUP($A24,#REF!,4,FALSE)</f>
        <v>#REF!</v>
      </c>
      <c r="C24" s="168"/>
      <c r="D24" s="169"/>
      <c r="F24"/>
      <c r="G24"/>
      <c r="H24" s="113"/>
      <c r="I24" s="112"/>
    </row>
    <row r="25" spans="1:20" s="3" customFormat="1">
      <c r="A25" s="42" t="s">
        <v>30</v>
      </c>
      <c r="B25" s="47" t="e">
        <f>VLOOKUP($A25,#REF!,4,FALSE)</f>
        <v>#REF!</v>
      </c>
      <c r="C25" s="113"/>
      <c r="D25" s="169"/>
      <c r="F25"/>
      <c r="G25"/>
      <c r="H25" s="113"/>
      <c r="I25" s="112"/>
    </row>
    <row r="26" spans="1:20" s="3" customFormat="1" ht="15" thickBot="1">
      <c r="A26" s="43" t="s">
        <v>21</v>
      </c>
      <c r="B26" s="48" t="e">
        <f>VLOOKUP($A26,#REF!,4,FALSE)</f>
        <v>#REF!</v>
      </c>
      <c r="C26" s="113"/>
      <c r="D26" s="169"/>
      <c r="F26"/>
      <c r="G26"/>
      <c r="H26" s="113"/>
      <c r="I26" s="112"/>
    </row>
    <row r="27" spans="1:20" ht="15" thickBot="1">
      <c r="A27" s="32"/>
      <c r="E27" s="3"/>
      <c r="H27" s="113"/>
      <c r="I27" s="112"/>
    </row>
    <row r="28" spans="1:20" ht="15">
      <c r="A28" s="40" t="s">
        <v>9</v>
      </c>
      <c r="B28" s="49"/>
      <c r="C28" s="53" t="s">
        <v>16</v>
      </c>
      <c r="D28" s="50"/>
      <c r="E28" s="3"/>
      <c r="H28" s="113"/>
      <c r="I28" s="112"/>
    </row>
    <row r="29" spans="1:20">
      <c r="A29" s="42" t="s">
        <v>10</v>
      </c>
      <c r="B29" s="170">
        <f>B8</f>
        <v>0.01</v>
      </c>
      <c r="C29" s="54" t="s">
        <v>58</v>
      </c>
      <c r="D29" s="159">
        <v>1</v>
      </c>
      <c r="I29" s="8"/>
      <c r="J29" s="8"/>
    </row>
    <row r="30" spans="1:20" ht="14.25" customHeight="1" thickBot="1">
      <c r="A30" s="43" t="s">
        <v>11</v>
      </c>
      <c r="B30" s="170">
        <f>B9</f>
        <v>0.01</v>
      </c>
      <c r="C30" s="43" t="s">
        <v>68</v>
      </c>
      <c r="D30" s="97">
        <v>0.9</v>
      </c>
    </row>
    <row r="31" spans="1:20" ht="15" thickBot="1">
      <c r="A31" s="32"/>
      <c r="B31" s="29"/>
    </row>
    <row r="32" spans="1:20" ht="16.5" customHeight="1" thickBot="1">
      <c r="A32" s="39" t="s">
        <v>29</v>
      </c>
      <c r="B32" s="91" t="e">
        <f>VLOOKUP($A32,#REF!,4,FALSE)</f>
        <v>#REF!</v>
      </c>
    </row>
    <row r="33" spans="1:51" ht="14.25" customHeight="1" thickBot="1">
      <c r="A33" s="32"/>
    </row>
    <row r="34" spans="1:51" ht="14.25" customHeight="1">
      <c r="A34" s="40" t="s">
        <v>12</v>
      </c>
      <c r="B34" s="66"/>
      <c r="D34" s="3"/>
    </row>
    <row r="35" spans="1:51">
      <c r="A35" s="42" t="s">
        <v>2</v>
      </c>
      <c r="B35" s="151" t="e">
        <f>VLOOKUP($A35,#REF!,4,FALSE)</f>
        <v>#REF!</v>
      </c>
      <c r="E35" s="3"/>
    </row>
    <row r="36" spans="1:51">
      <c r="A36" s="42" t="s">
        <v>13</v>
      </c>
      <c r="B36" s="151" t="e">
        <f>VLOOKUP($A36,#REF!,4,FALSE)</f>
        <v>#REF!</v>
      </c>
    </row>
    <row r="37" spans="1:51">
      <c r="A37" s="42" t="s">
        <v>14</v>
      </c>
      <c r="B37" s="151" t="e">
        <f>VLOOKUP($A37,#REF!,4,FALSE)</f>
        <v>#REF!</v>
      </c>
    </row>
    <row r="38" spans="1:51" ht="15" thickBot="1">
      <c r="A38" s="99" t="s">
        <v>49</v>
      </c>
      <c r="B38" s="152" t="e">
        <f>VLOOKUP($A38,#REF!,4,FALSE)</f>
        <v>#REF!</v>
      </c>
    </row>
    <row r="39" spans="1:51" ht="15" thickBot="1">
      <c r="C39" s="171"/>
    </row>
    <row r="40" spans="1:51" ht="15">
      <c r="A40" s="123" t="s">
        <v>19</v>
      </c>
      <c r="B40" s="107" t="e">
        <f>IF($B$20&gt;=B$196,B$196,"")</f>
        <v>#REF!</v>
      </c>
      <c r="C40" s="162" t="e">
        <f>IF($B$20&gt;=C$196,C$196,"")</f>
        <v>#REF!</v>
      </c>
      <c r="G40" s="7"/>
      <c r="I40" s="10"/>
    </row>
    <row r="41" spans="1:51" ht="15" thickBot="1">
      <c r="A41" s="99" t="s">
        <v>3</v>
      </c>
      <c r="B41" s="172">
        <v>0.4</v>
      </c>
      <c r="C41" s="231">
        <v>0.6</v>
      </c>
      <c r="H41" s="7"/>
      <c r="I41" s="7"/>
      <c r="J41" s="7"/>
      <c r="K41" s="7"/>
      <c r="L41" s="7"/>
      <c r="M41" s="7"/>
      <c r="N41" s="7"/>
      <c r="O41" s="7"/>
      <c r="P41" s="7" t="e">
        <f>IF($B$20&gt;=P$210,P$210,"")</f>
        <v>#REF!</v>
      </c>
      <c r="Q41" s="7" t="e">
        <f>IF($B$20&gt;=Q$241,Q$241,"")</f>
        <v>#REF!</v>
      </c>
      <c r="R41" s="7" t="e">
        <f>IF($B$20&gt;=R$241,R$241,"")</f>
        <v>#REF!</v>
      </c>
      <c r="S41" s="7" t="e">
        <f>IF($B$20&gt;=S$241,S$241,"")</f>
        <v>#REF!</v>
      </c>
      <c r="T41" s="7" t="e">
        <f>IF($B$20&gt;=T$241,T$241,"")</f>
        <v>#REF!</v>
      </c>
      <c r="U41" s="7" t="e">
        <f>IF($B$20&gt;=U$241,U$241,"")</f>
        <v>#REF!</v>
      </c>
      <c r="V41" s="7" t="e">
        <f t="shared" ref="V41:AA41" si="0">IF($B$20&gt;=V$250,V$250,"")</f>
        <v>#REF!</v>
      </c>
      <c r="W41" s="7" t="e">
        <f t="shared" si="0"/>
        <v>#REF!</v>
      </c>
      <c r="X41" s="7" t="e">
        <f t="shared" si="0"/>
        <v>#REF!</v>
      </c>
      <c r="Y41" s="7" t="e">
        <f t="shared" si="0"/>
        <v>#REF!</v>
      </c>
      <c r="Z41" s="7" t="e">
        <f t="shared" si="0"/>
        <v>#REF!</v>
      </c>
      <c r="AA41" s="7" t="e">
        <f t="shared" si="0"/>
        <v>#REF!</v>
      </c>
    </row>
    <row r="42" spans="1:51">
      <c r="B42" s="6"/>
      <c r="C42" s="113"/>
      <c r="F42" s="113"/>
      <c r="AB42" s="7" t="e">
        <f t="shared" ref="AB42:AY42" si="1">IF($B$20&gt;=AB$251,AB$251,"")</f>
        <v>#REF!</v>
      </c>
      <c r="AC42" s="7" t="e">
        <f t="shared" si="1"/>
        <v>#REF!</v>
      </c>
      <c r="AD42" s="7" t="e">
        <f t="shared" si="1"/>
        <v>#REF!</v>
      </c>
      <c r="AE42" s="7" t="e">
        <f t="shared" si="1"/>
        <v>#REF!</v>
      </c>
      <c r="AF42" s="7" t="e">
        <f t="shared" si="1"/>
        <v>#REF!</v>
      </c>
      <c r="AG42" s="7" t="e">
        <f t="shared" si="1"/>
        <v>#REF!</v>
      </c>
      <c r="AH42" s="7" t="e">
        <f t="shared" si="1"/>
        <v>#REF!</v>
      </c>
      <c r="AI42" s="7" t="e">
        <f t="shared" si="1"/>
        <v>#REF!</v>
      </c>
      <c r="AJ42" s="7" t="e">
        <f t="shared" si="1"/>
        <v>#REF!</v>
      </c>
      <c r="AK42" s="7" t="e">
        <f t="shared" si="1"/>
        <v>#REF!</v>
      </c>
      <c r="AL42" s="7" t="e">
        <f t="shared" si="1"/>
        <v>#REF!</v>
      </c>
      <c r="AM42" s="7" t="e">
        <f t="shared" si="1"/>
        <v>#REF!</v>
      </c>
      <c r="AN42" s="7" t="e">
        <f t="shared" si="1"/>
        <v>#REF!</v>
      </c>
      <c r="AO42" s="7" t="e">
        <f t="shared" si="1"/>
        <v>#REF!</v>
      </c>
      <c r="AP42" s="7" t="e">
        <f t="shared" si="1"/>
        <v>#REF!</v>
      </c>
      <c r="AQ42" s="7" t="e">
        <f t="shared" si="1"/>
        <v>#REF!</v>
      </c>
      <c r="AR42" s="7" t="e">
        <f t="shared" si="1"/>
        <v>#REF!</v>
      </c>
      <c r="AS42" s="7" t="e">
        <f t="shared" si="1"/>
        <v>#REF!</v>
      </c>
      <c r="AT42" s="7" t="e">
        <f t="shared" si="1"/>
        <v>#REF!</v>
      </c>
      <c r="AU42" s="7" t="e">
        <f t="shared" si="1"/>
        <v>#REF!</v>
      </c>
      <c r="AV42" s="7" t="e">
        <f t="shared" si="1"/>
        <v>#REF!</v>
      </c>
      <c r="AW42" s="7" t="e">
        <f t="shared" si="1"/>
        <v>#REF!</v>
      </c>
      <c r="AX42" s="7" t="e">
        <f t="shared" si="1"/>
        <v>#REF!</v>
      </c>
      <c r="AY42" s="7" t="e">
        <f t="shared" si="1"/>
        <v>#REF!</v>
      </c>
    </row>
    <row r="43" spans="1:51" ht="15" thickBot="1">
      <c r="B43" s="31"/>
      <c r="D43" s="3"/>
      <c r="E43" s="3"/>
      <c r="O43" s="20"/>
    </row>
    <row r="44" spans="1:51" ht="15">
      <c r="A44" s="77" t="s">
        <v>4</v>
      </c>
      <c r="B44" s="69"/>
      <c r="C44" s="69"/>
      <c r="D44" s="69"/>
      <c r="E44" s="69"/>
      <c r="F44" s="69"/>
      <c r="G44" s="69"/>
      <c r="H44" s="69"/>
      <c r="I44" s="69"/>
      <c r="J44" s="69"/>
      <c r="K44" s="69"/>
      <c r="L44" s="69"/>
      <c r="M44" s="69"/>
      <c r="N44" s="69"/>
      <c r="O44" s="69"/>
      <c r="P44" s="69"/>
      <c r="Q44" s="69"/>
      <c r="R44" s="69"/>
      <c r="S44" s="69"/>
      <c r="T44" s="69"/>
      <c r="U44" s="69"/>
      <c r="V44" s="69"/>
      <c r="W44" s="69"/>
      <c r="X44" s="69"/>
      <c r="Y44" s="69"/>
      <c r="Z44" s="70"/>
      <c r="AA44" s="31"/>
    </row>
    <row r="45" spans="1:51" s="31" customFormat="1" ht="15">
      <c r="A45" s="55" t="s">
        <v>1</v>
      </c>
      <c r="B45" s="65" t="e">
        <f>IF(SUM($B$20:$B$21)+5&gt;=B$196,B$196,"")</f>
        <v>#REF!</v>
      </c>
      <c r="C45" s="65" t="e">
        <f>IF(SUM($B$20:$B$21)+5&gt;=C$196,C$196,"")</f>
        <v>#REF!</v>
      </c>
      <c r="D45" s="65" t="e">
        <f>IF(SUM($B$20:$B$21)+5&gt;=D$196,D$196,"")</f>
        <v>#REF!</v>
      </c>
      <c r="E45" s="65" t="e">
        <f>IF(SUM($B$20:$B$21)+5&gt;=E$196,E$196,"")</f>
        <v>#REF!</v>
      </c>
      <c r="F45" s="65" t="e">
        <f>IF(SUM($B$20:$B$21)+5&gt;=F$196,F$196,"")</f>
        <v>#REF!</v>
      </c>
      <c r="G45" s="65" t="e">
        <f>IF(SUM($B$20:$B$21)+5&gt;=G$179,G$179,"")</f>
        <v>#REF!</v>
      </c>
      <c r="H45" s="65" t="e">
        <f>IF(SUM($B$20:$B$21)+5&gt;=H$179,H$179,"")</f>
        <v>#REF!</v>
      </c>
      <c r="I45" s="65" t="e">
        <f>IF(SUM($B$20:$B$21)+5&gt;=I$179,I$179,"")</f>
        <v>#REF!</v>
      </c>
      <c r="J45" s="65" t="e">
        <f>IF(SUM($B$20:$B$21)+5&gt;=J$179,J$179,"")</f>
        <v>#REF!</v>
      </c>
      <c r="K45" s="65" t="e">
        <f t="shared" ref="K45:W45" si="2">IF(SUM($B$20:$B$21)+5&gt;=K$196,K$196,"")</f>
        <v>#REF!</v>
      </c>
      <c r="L45" s="65" t="e">
        <f t="shared" si="2"/>
        <v>#REF!</v>
      </c>
      <c r="M45" s="65" t="e">
        <f t="shared" si="2"/>
        <v>#REF!</v>
      </c>
      <c r="N45" s="65" t="e">
        <f t="shared" si="2"/>
        <v>#REF!</v>
      </c>
      <c r="O45" s="65" t="e">
        <f t="shared" si="2"/>
        <v>#REF!</v>
      </c>
      <c r="P45" s="65" t="e">
        <f t="shared" si="2"/>
        <v>#REF!</v>
      </c>
      <c r="Q45" s="65" t="e">
        <f t="shared" si="2"/>
        <v>#REF!</v>
      </c>
      <c r="R45" s="65" t="e">
        <f t="shared" si="2"/>
        <v>#REF!</v>
      </c>
      <c r="S45" s="65" t="e">
        <f t="shared" si="2"/>
        <v>#REF!</v>
      </c>
      <c r="T45" s="65" t="e">
        <f t="shared" si="2"/>
        <v>#REF!</v>
      </c>
      <c r="U45" s="65" t="e">
        <f t="shared" si="2"/>
        <v>#REF!</v>
      </c>
      <c r="V45" s="65" t="e">
        <f t="shared" si="2"/>
        <v>#REF!</v>
      </c>
      <c r="W45" s="65" t="e">
        <f t="shared" si="2"/>
        <v>#REF!</v>
      </c>
      <c r="X45" s="56"/>
      <c r="Y45" s="56"/>
      <c r="Z45" s="57"/>
      <c r="AA45"/>
    </row>
    <row r="46" spans="1:51">
      <c r="A46" s="58" t="s">
        <v>31</v>
      </c>
      <c r="B46" s="59" t="e">
        <f t="shared" ref="B46:W46" si="3">IF(B$45="","",IF(B$45&gt;$B$20,0%,$D$30*B$41))</f>
        <v>#REF!</v>
      </c>
      <c r="C46" s="59" t="e">
        <f t="shared" si="3"/>
        <v>#REF!</v>
      </c>
      <c r="D46" s="59" t="e">
        <f t="shared" si="3"/>
        <v>#REF!</v>
      </c>
      <c r="E46" s="59" t="e">
        <f t="shared" si="3"/>
        <v>#REF!</v>
      </c>
      <c r="F46" s="59" t="e">
        <f t="shared" si="3"/>
        <v>#REF!</v>
      </c>
      <c r="G46" s="59" t="e">
        <f t="shared" si="3"/>
        <v>#REF!</v>
      </c>
      <c r="H46" s="59" t="e">
        <f t="shared" si="3"/>
        <v>#REF!</v>
      </c>
      <c r="I46" s="59" t="e">
        <f t="shared" si="3"/>
        <v>#REF!</v>
      </c>
      <c r="J46" s="59" t="e">
        <f t="shared" si="3"/>
        <v>#REF!</v>
      </c>
      <c r="K46" s="59" t="e">
        <f t="shared" si="3"/>
        <v>#REF!</v>
      </c>
      <c r="L46" s="59" t="e">
        <f t="shared" si="3"/>
        <v>#REF!</v>
      </c>
      <c r="M46" s="59" t="e">
        <f t="shared" si="3"/>
        <v>#REF!</v>
      </c>
      <c r="N46" s="59" t="e">
        <f t="shared" si="3"/>
        <v>#REF!</v>
      </c>
      <c r="O46" s="59" t="e">
        <f t="shared" si="3"/>
        <v>#REF!</v>
      </c>
      <c r="P46" s="59" t="e">
        <f t="shared" si="3"/>
        <v>#REF!</v>
      </c>
      <c r="Q46" s="59" t="e">
        <f t="shared" si="3"/>
        <v>#REF!</v>
      </c>
      <c r="R46" s="59" t="e">
        <f t="shared" si="3"/>
        <v>#REF!</v>
      </c>
      <c r="S46" s="59" t="e">
        <f t="shared" si="3"/>
        <v>#REF!</v>
      </c>
      <c r="T46" s="59" t="e">
        <f t="shared" si="3"/>
        <v>#REF!</v>
      </c>
      <c r="U46" s="59" t="e">
        <f t="shared" si="3"/>
        <v>#REF!</v>
      </c>
      <c r="V46" s="59" t="e">
        <f t="shared" si="3"/>
        <v>#REF!</v>
      </c>
      <c r="W46" s="59" t="e">
        <f t="shared" si="3"/>
        <v>#REF!</v>
      </c>
      <c r="X46" s="59"/>
      <c r="Y46" s="59"/>
      <c r="Z46" s="60"/>
    </row>
    <row r="47" spans="1:51">
      <c r="A47" s="173" t="s">
        <v>69</v>
      </c>
      <c r="B47" s="174" t="e">
        <f>IF(B$45="","",IF(B$45&gt;$B$20,0%,$D$30*B$41*$B$15))</f>
        <v>#REF!</v>
      </c>
      <c r="C47" s="174" t="e">
        <f t="shared" ref="C47:W47" si="4">IF(C$45="","",IF(C$45&gt;$B$20,0%,$D$30*C$41*$B$15))</f>
        <v>#REF!</v>
      </c>
      <c r="D47" s="174" t="e">
        <f t="shared" si="4"/>
        <v>#REF!</v>
      </c>
      <c r="E47" s="174" t="e">
        <f t="shared" si="4"/>
        <v>#REF!</v>
      </c>
      <c r="F47" s="174" t="e">
        <f t="shared" si="4"/>
        <v>#REF!</v>
      </c>
      <c r="G47" s="174" t="e">
        <f t="shared" si="4"/>
        <v>#REF!</v>
      </c>
      <c r="H47" s="174" t="e">
        <f t="shared" si="4"/>
        <v>#REF!</v>
      </c>
      <c r="I47" s="174" t="e">
        <f t="shared" si="4"/>
        <v>#REF!</v>
      </c>
      <c r="J47" s="174" t="e">
        <f t="shared" si="4"/>
        <v>#REF!</v>
      </c>
      <c r="K47" s="174" t="e">
        <f t="shared" si="4"/>
        <v>#REF!</v>
      </c>
      <c r="L47" s="174" t="e">
        <f t="shared" si="4"/>
        <v>#REF!</v>
      </c>
      <c r="M47" s="174" t="e">
        <f t="shared" si="4"/>
        <v>#REF!</v>
      </c>
      <c r="N47" s="174" t="e">
        <f t="shared" si="4"/>
        <v>#REF!</v>
      </c>
      <c r="O47" s="174" t="e">
        <f t="shared" si="4"/>
        <v>#REF!</v>
      </c>
      <c r="P47" s="174" t="e">
        <f t="shared" si="4"/>
        <v>#REF!</v>
      </c>
      <c r="Q47" s="174" t="e">
        <f t="shared" si="4"/>
        <v>#REF!</v>
      </c>
      <c r="R47" s="174" t="e">
        <f t="shared" si="4"/>
        <v>#REF!</v>
      </c>
      <c r="S47" s="174" t="e">
        <f t="shared" si="4"/>
        <v>#REF!</v>
      </c>
      <c r="T47" s="174" t="e">
        <f t="shared" si="4"/>
        <v>#REF!</v>
      </c>
      <c r="U47" s="174" t="e">
        <f t="shared" si="4"/>
        <v>#REF!</v>
      </c>
      <c r="V47" s="174" t="e">
        <f t="shared" si="4"/>
        <v>#REF!</v>
      </c>
      <c r="W47" s="174" t="e">
        <f t="shared" si="4"/>
        <v>#REF!</v>
      </c>
      <c r="X47" s="174"/>
      <c r="Y47" s="174"/>
      <c r="Z47" s="175"/>
    </row>
    <row r="48" spans="1:51">
      <c r="A48" s="58" t="s">
        <v>70</v>
      </c>
      <c r="B48" s="51" t="e">
        <f>IF(B45="","",B46)</f>
        <v>#REF!</v>
      </c>
      <c r="C48" s="51" t="e">
        <f>IF(C45="","",B48+C46)</f>
        <v>#REF!</v>
      </c>
      <c r="D48" s="51" t="e">
        <f>IF(D45="","",C48+D46)</f>
        <v>#REF!</v>
      </c>
      <c r="E48" s="51" t="e">
        <f>IF(E45="","",D48+E46)</f>
        <v>#REF!</v>
      </c>
      <c r="F48" s="51" t="e">
        <f t="shared" ref="F48:W48" si="5">IF(F45="","",E48+F46)</f>
        <v>#REF!</v>
      </c>
      <c r="G48" s="51" t="e">
        <f t="shared" si="5"/>
        <v>#REF!</v>
      </c>
      <c r="H48" s="51" t="e">
        <f>IF(H45="","",G48+H46)</f>
        <v>#REF!</v>
      </c>
      <c r="I48" s="51" t="e">
        <f t="shared" si="5"/>
        <v>#REF!</v>
      </c>
      <c r="J48" s="51" t="e">
        <f t="shared" si="5"/>
        <v>#REF!</v>
      </c>
      <c r="K48" s="51" t="e">
        <f t="shared" si="5"/>
        <v>#REF!</v>
      </c>
      <c r="L48" s="51" t="e">
        <f t="shared" si="5"/>
        <v>#REF!</v>
      </c>
      <c r="M48" s="51" t="e">
        <f t="shared" si="5"/>
        <v>#REF!</v>
      </c>
      <c r="N48" s="51" t="e">
        <f t="shared" si="5"/>
        <v>#REF!</v>
      </c>
      <c r="O48" s="51" t="e">
        <f t="shared" si="5"/>
        <v>#REF!</v>
      </c>
      <c r="P48" s="51" t="e">
        <f t="shared" si="5"/>
        <v>#REF!</v>
      </c>
      <c r="Q48" s="51" t="e">
        <f t="shared" si="5"/>
        <v>#REF!</v>
      </c>
      <c r="R48" s="51" t="e">
        <f t="shared" si="5"/>
        <v>#REF!</v>
      </c>
      <c r="S48" s="51" t="e">
        <f t="shared" si="5"/>
        <v>#REF!</v>
      </c>
      <c r="T48" s="51" t="e">
        <f t="shared" si="5"/>
        <v>#REF!</v>
      </c>
      <c r="U48" s="51" t="e">
        <f t="shared" si="5"/>
        <v>#REF!</v>
      </c>
      <c r="V48" s="51" t="e">
        <f t="shared" si="5"/>
        <v>#REF!</v>
      </c>
      <c r="W48" s="51" t="e">
        <f t="shared" si="5"/>
        <v>#REF!</v>
      </c>
      <c r="X48" s="51"/>
      <c r="Y48" s="51"/>
      <c r="Z48" s="61"/>
    </row>
    <row r="49" spans="1:27">
      <c r="A49" s="173" t="s">
        <v>71</v>
      </c>
      <c r="B49" s="176" t="e">
        <f>IF(B$45="","",B$47)</f>
        <v>#REF!</v>
      </c>
      <c r="C49" s="176" t="e">
        <f>IF(C$45="","",B$49+C$47)</f>
        <v>#REF!</v>
      </c>
      <c r="D49" s="176" t="e">
        <f t="shared" ref="D49:W49" si="6">IF(D$45="","",C$49+D$47)</f>
        <v>#REF!</v>
      </c>
      <c r="E49" s="176" t="e">
        <f t="shared" si="6"/>
        <v>#REF!</v>
      </c>
      <c r="F49" s="176" t="e">
        <f t="shared" si="6"/>
        <v>#REF!</v>
      </c>
      <c r="G49" s="176" t="e">
        <f t="shared" si="6"/>
        <v>#REF!</v>
      </c>
      <c r="H49" s="176" t="e">
        <f t="shared" si="6"/>
        <v>#REF!</v>
      </c>
      <c r="I49" s="176" t="e">
        <f t="shared" si="6"/>
        <v>#REF!</v>
      </c>
      <c r="J49" s="176" t="e">
        <f t="shared" si="6"/>
        <v>#REF!</v>
      </c>
      <c r="K49" s="176" t="e">
        <f t="shared" si="6"/>
        <v>#REF!</v>
      </c>
      <c r="L49" s="176" t="e">
        <f t="shared" si="6"/>
        <v>#REF!</v>
      </c>
      <c r="M49" s="176" t="e">
        <f t="shared" si="6"/>
        <v>#REF!</v>
      </c>
      <c r="N49" s="176" t="e">
        <f t="shared" si="6"/>
        <v>#REF!</v>
      </c>
      <c r="O49" s="176" t="e">
        <f t="shared" si="6"/>
        <v>#REF!</v>
      </c>
      <c r="P49" s="176" t="e">
        <f t="shared" si="6"/>
        <v>#REF!</v>
      </c>
      <c r="Q49" s="176" t="e">
        <f t="shared" si="6"/>
        <v>#REF!</v>
      </c>
      <c r="R49" s="176" t="e">
        <f t="shared" si="6"/>
        <v>#REF!</v>
      </c>
      <c r="S49" s="176" t="e">
        <f t="shared" si="6"/>
        <v>#REF!</v>
      </c>
      <c r="T49" s="176" t="e">
        <f t="shared" si="6"/>
        <v>#REF!</v>
      </c>
      <c r="U49" s="176" t="e">
        <f t="shared" si="6"/>
        <v>#REF!</v>
      </c>
      <c r="V49" s="176" t="e">
        <f t="shared" si="6"/>
        <v>#REF!</v>
      </c>
      <c r="W49" s="176" t="e">
        <f t="shared" si="6"/>
        <v>#REF!</v>
      </c>
      <c r="X49" s="176"/>
      <c r="Y49" s="176"/>
      <c r="Z49" s="177"/>
    </row>
    <row r="50" spans="1:27">
      <c r="A50" s="58"/>
      <c r="B50" s="51"/>
      <c r="C50" s="51"/>
      <c r="D50" s="51"/>
      <c r="E50" s="51"/>
      <c r="F50" s="51"/>
      <c r="G50" s="51"/>
      <c r="H50" s="51"/>
      <c r="I50" s="51"/>
      <c r="J50" s="51"/>
      <c r="K50" s="51"/>
      <c r="L50" s="51"/>
      <c r="M50" s="51"/>
      <c r="N50" s="51"/>
      <c r="O50" s="51"/>
      <c r="P50" s="51"/>
      <c r="Q50" s="19"/>
      <c r="R50" s="19"/>
      <c r="S50" s="19"/>
      <c r="T50" s="19"/>
      <c r="U50" s="19"/>
      <c r="V50" s="19"/>
      <c r="W50" s="19"/>
      <c r="X50" s="19"/>
      <c r="Y50" s="19"/>
      <c r="Z50" s="67"/>
    </row>
    <row r="51" spans="1:27">
      <c r="A51" s="58" t="s">
        <v>32</v>
      </c>
      <c r="B51" s="51" t="e">
        <f t="shared" ref="B51:W51" ca="1" si="7">IF(B45="","",IF(B45&gt;=$B$21+1,-OFFSET(B46,0,-$B$21),0%))</f>
        <v>#REF!</v>
      </c>
      <c r="C51" s="51" t="e">
        <f t="shared" ca="1" si="7"/>
        <v>#REF!</v>
      </c>
      <c r="D51" s="51" t="e">
        <f t="shared" ca="1" si="7"/>
        <v>#REF!</v>
      </c>
      <c r="E51" s="51" t="e">
        <f t="shared" ca="1" si="7"/>
        <v>#REF!</v>
      </c>
      <c r="F51" s="51" t="e">
        <f t="shared" ca="1" si="7"/>
        <v>#REF!</v>
      </c>
      <c r="G51" s="51" t="e">
        <f t="shared" ca="1" si="7"/>
        <v>#REF!</v>
      </c>
      <c r="H51" s="51" t="e">
        <f t="shared" ca="1" si="7"/>
        <v>#REF!</v>
      </c>
      <c r="I51" s="51" t="e">
        <f t="shared" ca="1" si="7"/>
        <v>#REF!</v>
      </c>
      <c r="J51" s="51" t="e">
        <f t="shared" ca="1" si="7"/>
        <v>#REF!</v>
      </c>
      <c r="K51" s="51" t="e">
        <f t="shared" ca="1" si="7"/>
        <v>#REF!</v>
      </c>
      <c r="L51" s="51" t="e">
        <f t="shared" ca="1" si="7"/>
        <v>#REF!</v>
      </c>
      <c r="M51" s="51" t="e">
        <f t="shared" ca="1" si="7"/>
        <v>#REF!</v>
      </c>
      <c r="N51" s="51" t="e">
        <f t="shared" ca="1" si="7"/>
        <v>#REF!</v>
      </c>
      <c r="O51" s="51" t="e">
        <f t="shared" ca="1" si="7"/>
        <v>#REF!</v>
      </c>
      <c r="P51" s="51" t="e">
        <f t="shared" ca="1" si="7"/>
        <v>#REF!</v>
      </c>
      <c r="Q51" s="51" t="e">
        <f t="shared" ca="1" si="7"/>
        <v>#REF!</v>
      </c>
      <c r="R51" s="51" t="e">
        <f t="shared" ca="1" si="7"/>
        <v>#REF!</v>
      </c>
      <c r="S51" s="51" t="e">
        <f t="shared" ca="1" si="7"/>
        <v>#REF!</v>
      </c>
      <c r="T51" s="51" t="e">
        <f t="shared" ca="1" si="7"/>
        <v>#REF!</v>
      </c>
      <c r="U51" s="51" t="e">
        <f t="shared" ca="1" si="7"/>
        <v>#REF!</v>
      </c>
      <c r="V51" s="51" t="e">
        <f t="shared" ca="1" si="7"/>
        <v>#REF!</v>
      </c>
      <c r="W51" s="51" t="e">
        <f t="shared" ca="1" si="7"/>
        <v>#REF!</v>
      </c>
      <c r="X51" s="51"/>
      <c r="Y51" s="51"/>
      <c r="Z51" s="61"/>
    </row>
    <row r="52" spans="1:27">
      <c r="A52" s="173" t="s">
        <v>72</v>
      </c>
      <c r="B52" s="176" t="e">
        <f ca="1">IF(B45="","",IF(B45&gt;=$B$21+1,-OFFSET(B47,0,-$B$21),0%))</f>
        <v>#REF!</v>
      </c>
      <c r="C52" s="176" t="e">
        <f t="shared" ref="C52:O52" ca="1" si="8">IF(C45="","",IF(C45&gt;=$B$21+1,-OFFSET(C47,0,-$B$21),0%))</f>
        <v>#REF!</v>
      </c>
      <c r="D52" s="176" t="e">
        <f t="shared" ca="1" si="8"/>
        <v>#REF!</v>
      </c>
      <c r="E52" s="176" t="e">
        <f t="shared" ca="1" si="8"/>
        <v>#REF!</v>
      </c>
      <c r="F52" s="176" t="e">
        <f t="shared" ca="1" si="8"/>
        <v>#REF!</v>
      </c>
      <c r="G52" s="176" t="e">
        <f t="shared" ca="1" si="8"/>
        <v>#REF!</v>
      </c>
      <c r="H52" s="176" t="e">
        <f t="shared" ca="1" si="8"/>
        <v>#REF!</v>
      </c>
      <c r="I52" s="176" t="e">
        <f ca="1">I51*$M$60</f>
        <v>#REF!</v>
      </c>
      <c r="J52" s="176" t="e">
        <f t="shared" ref="J52" ca="1" si="9">J51*$M$60</f>
        <v>#REF!</v>
      </c>
      <c r="K52" s="176" t="e">
        <f t="shared" ca="1" si="8"/>
        <v>#REF!</v>
      </c>
      <c r="L52" s="176" t="e">
        <f t="shared" ca="1" si="8"/>
        <v>#REF!</v>
      </c>
      <c r="M52" s="176" t="e">
        <f t="shared" ca="1" si="8"/>
        <v>#REF!</v>
      </c>
      <c r="N52" s="176" t="e">
        <f t="shared" ca="1" si="8"/>
        <v>#REF!</v>
      </c>
      <c r="O52" s="176" t="e">
        <f t="shared" ca="1" si="8"/>
        <v>#REF!</v>
      </c>
      <c r="P52" s="176"/>
      <c r="Q52" s="176"/>
      <c r="R52" s="176"/>
      <c r="S52" s="176"/>
      <c r="T52" s="176"/>
      <c r="U52" s="176"/>
      <c r="V52" s="176"/>
      <c r="W52" s="176"/>
      <c r="X52" s="176"/>
      <c r="Y52" s="176"/>
      <c r="Z52" s="177"/>
    </row>
    <row r="53" spans="1:27">
      <c r="A53" s="58" t="s">
        <v>6</v>
      </c>
      <c r="B53" s="51" t="e">
        <f>IF(B45="","",0%)</f>
        <v>#REF!</v>
      </c>
      <c r="C53" s="51" t="e">
        <f>IF(C45="","",C51+B53)</f>
        <v>#REF!</v>
      </c>
      <c r="D53" s="51" t="e">
        <f t="shared" ref="D53:O53" si="10">IF(D45="","",D51+C53)</f>
        <v>#REF!</v>
      </c>
      <c r="E53" s="51" t="e">
        <f t="shared" si="10"/>
        <v>#REF!</v>
      </c>
      <c r="F53" s="51" t="e">
        <f t="shared" si="10"/>
        <v>#REF!</v>
      </c>
      <c r="G53" s="51" t="e">
        <f t="shared" si="10"/>
        <v>#REF!</v>
      </c>
      <c r="H53" s="51" t="e">
        <f t="shared" si="10"/>
        <v>#REF!</v>
      </c>
      <c r="I53" s="51" t="e">
        <f t="shared" si="10"/>
        <v>#REF!</v>
      </c>
      <c r="J53" s="51" t="e">
        <f t="shared" si="10"/>
        <v>#REF!</v>
      </c>
      <c r="K53" s="51" t="e">
        <f t="shared" si="10"/>
        <v>#REF!</v>
      </c>
      <c r="L53" s="51" t="e">
        <f t="shared" si="10"/>
        <v>#REF!</v>
      </c>
      <c r="M53" s="51" t="e">
        <f t="shared" si="10"/>
        <v>#REF!</v>
      </c>
      <c r="N53" s="51" t="e">
        <f t="shared" si="10"/>
        <v>#REF!</v>
      </c>
      <c r="O53" s="51" t="e">
        <f t="shared" si="10"/>
        <v>#REF!</v>
      </c>
      <c r="P53" s="51"/>
      <c r="Q53" s="51"/>
      <c r="R53" s="51"/>
      <c r="S53" s="51"/>
      <c r="T53" s="51"/>
      <c r="U53" s="51"/>
      <c r="V53" s="51"/>
      <c r="W53" s="51"/>
      <c r="X53" s="51"/>
      <c r="Y53" s="51"/>
      <c r="Z53" s="61"/>
    </row>
    <row r="54" spans="1:27">
      <c r="A54" s="173" t="s">
        <v>73</v>
      </c>
      <c r="B54" s="176" t="e">
        <f>IF(B45="","",0%)</f>
        <v>#REF!</v>
      </c>
      <c r="C54" s="176" t="e">
        <f>IF(C$45="","",C$52+B$54)</f>
        <v>#REF!</v>
      </c>
      <c r="D54" s="176" t="e">
        <f t="shared" ref="D54:W54" si="11">IF(D$45="","",D$52+C$54)</f>
        <v>#REF!</v>
      </c>
      <c r="E54" s="176" t="e">
        <f t="shared" si="11"/>
        <v>#REF!</v>
      </c>
      <c r="F54" s="176" t="e">
        <f t="shared" si="11"/>
        <v>#REF!</v>
      </c>
      <c r="G54" s="176" t="e">
        <f t="shared" si="11"/>
        <v>#REF!</v>
      </c>
      <c r="H54" s="176" t="e">
        <f t="shared" si="11"/>
        <v>#REF!</v>
      </c>
      <c r="I54" s="176" t="e">
        <f t="shared" si="11"/>
        <v>#REF!</v>
      </c>
      <c r="J54" s="176" t="e">
        <f t="shared" si="11"/>
        <v>#REF!</v>
      </c>
      <c r="K54" s="176" t="e">
        <f t="shared" si="11"/>
        <v>#REF!</v>
      </c>
      <c r="L54" s="176" t="e">
        <f t="shared" si="11"/>
        <v>#REF!</v>
      </c>
      <c r="M54" s="176" t="e">
        <f t="shared" si="11"/>
        <v>#REF!</v>
      </c>
      <c r="N54" s="176" t="e">
        <f t="shared" si="11"/>
        <v>#REF!</v>
      </c>
      <c r="O54" s="176" t="e">
        <f t="shared" si="11"/>
        <v>#REF!</v>
      </c>
      <c r="P54" s="176" t="e">
        <f t="shared" si="11"/>
        <v>#REF!</v>
      </c>
      <c r="Q54" s="176" t="e">
        <f t="shared" si="11"/>
        <v>#REF!</v>
      </c>
      <c r="R54" s="176" t="e">
        <f t="shared" si="11"/>
        <v>#REF!</v>
      </c>
      <c r="S54" s="176" t="e">
        <f t="shared" si="11"/>
        <v>#REF!</v>
      </c>
      <c r="T54" s="176" t="e">
        <f t="shared" si="11"/>
        <v>#REF!</v>
      </c>
      <c r="U54" s="176" t="e">
        <f t="shared" si="11"/>
        <v>#REF!</v>
      </c>
      <c r="V54" s="176" t="e">
        <f t="shared" si="11"/>
        <v>#REF!</v>
      </c>
      <c r="W54" s="176" t="e">
        <f t="shared" si="11"/>
        <v>#REF!</v>
      </c>
      <c r="X54" s="176"/>
      <c r="Y54" s="176"/>
      <c r="Z54" s="177"/>
    </row>
    <row r="55" spans="1:27">
      <c r="A55" s="58"/>
      <c r="B55" s="51"/>
      <c r="C55" s="51"/>
      <c r="D55" s="51"/>
      <c r="E55" s="51"/>
      <c r="F55" s="51"/>
      <c r="G55" s="51"/>
      <c r="H55" s="51"/>
      <c r="I55" s="51"/>
      <c r="J55" s="51"/>
      <c r="K55" s="51"/>
      <c r="L55" s="51"/>
      <c r="M55" s="51"/>
      <c r="N55" s="51"/>
      <c r="O55" s="51"/>
      <c r="P55" s="51"/>
      <c r="Q55" s="51"/>
      <c r="R55" s="51"/>
      <c r="S55" s="51"/>
      <c r="T55" s="51"/>
      <c r="U55" s="51"/>
      <c r="V55" s="19"/>
      <c r="W55" s="19"/>
      <c r="X55" s="19"/>
      <c r="Y55" s="19"/>
      <c r="Z55" s="67"/>
    </row>
    <row r="56" spans="1:27">
      <c r="A56" s="62" t="s">
        <v>34</v>
      </c>
      <c r="B56" s="51" t="e">
        <f ca="1">IF(B45="","",IF(B45=1,0%,OFFSET(B48,0,-1)+(OFFSET(B53,0,-1))))</f>
        <v>#REF!</v>
      </c>
      <c r="C56" s="51" t="e">
        <f t="shared" ref="C56:W56" ca="1" si="12">IF(C45="","",IF(C45=1,0%,OFFSET(C48,0,-1)+(OFFSET(C53,0,-1))))</f>
        <v>#REF!</v>
      </c>
      <c r="D56" s="51" t="e">
        <f t="shared" ca="1" si="12"/>
        <v>#REF!</v>
      </c>
      <c r="E56" s="51" t="e">
        <f t="shared" ca="1" si="12"/>
        <v>#REF!</v>
      </c>
      <c r="F56" s="51" t="e">
        <f t="shared" ca="1" si="12"/>
        <v>#REF!</v>
      </c>
      <c r="G56" s="51" t="e">
        <f t="shared" ca="1" si="12"/>
        <v>#REF!</v>
      </c>
      <c r="H56" s="51" t="e">
        <f ca="1">IF(H45="","",IF(H45=1,0%,OFFSET(H48,0,-1)+(OFFSET(H53,0,-1))))</f>
        <v>#REF!</v>
      </c>
      <c r="I56" s="51" t="e">
        <f t="shared" ca="1" si="12"/>
        <v>#REF!</v>
      </c>
      <c r="J56" s="51" t="e">
        <f t="shared" ca="1" si="12"/>
        <v>#REF!</v>
      </c>
      <c r="K56" s="51" t="e">
        <f t="shared" ca="1" si="12"/>
        <v>#REF!</v>
      </c>
      <c r="L56" s="51" t="e">
        <f t="shared" ca="1" si="12"/>
        <v>#REF!</v>
      </c>
      <c r="M56" s="51" t="e">
        <f t="shared" ca="1" si="12"/>
        <v>#REF!</v>
      </c>
      <c r="N56" s="51" t="e">
        <f t="shared" ca="1" si="12"/>
        <v>#REF!</v>
      </c>
      <c r="O56" s="51" t="e">
        <f t="shared" ca="1" si="12"/>
        <v>#REF!</v>
      </c>
      <c r="P56" s="51" t="e">
        <f t="shared" ca="1" si="12"/>
        <v>#REF!</v>
      </c>
      <c r="Q56" s="51" t="e">
        <f t="shared" ca="1" si="12"/>
        <v>#REF!</v>
      </c>
      <c r="R56" s="51" t="e">
        <f t="shared" ca="1" si="12"/>
        <v>#REF!</v>
      </c>
      <c r="S56" s="51" t="e">
        <f t="shared" ca="1" si="12"/>
        <v>#REF!</v>
      </c>
      <c r="T56" s="51" t="e">
        <f t="shared" ca="1" si="12"/>
        <v>#REF!</v>
      </c>
      <c r="U56" s="51" t="e">
        <f t="shared" ca="1" si="12"/>
        <v>#REF!</v>
      </c>
      <c r="V56" s="51" t="e">
        <f t="shared" ca="1" si="12"/>
        <v>#REF!</v>
      </c>
      <c r="W56" s="51" t="e">
        <f t="shared" ca="1" si="12"/>
        <v>#REF!</v>
      </c>
      <c r="X56" s="51"/>
      <c r="Y56" s="51"/>
      <c r="Z56" s="61"/>
    </row>
    <row r="57" spans="1:27">
      <c r="A57" s="178" t="s">
        <v>74</v>
      </c>
      <c r="B57" s="176" t="e">
        <f ca="1">IF(B45="","",IF(B45=1,0%,OFFSET(B49,0,-1)+(OFFSET(B54,0,-1))))</f>
        <v>#REF!</v>
      </c>
      <c r="C57" s="176" t="e">
        <f t="shared" ref="C57:K57" ca="1" si="13">IF(C45="","",IF(C45=1,0%,OFFSET(C49,0,-1)+(OFFSET(C54,0,-1))))</f>
        <v>#REF!</v>
      </c>
      <c r="D57" s="176" t="e">
        <f t="shared" ca="1" si="13"/>
        <v>#REF!</v>
      </c>
      <c r="E57" s="176" t="e">
        <f t="shared" ca="1" si="13"/>
        <v>#REF!</v>
      </c>
      <c r="F57" s="176" t="e">
        <f t="shared" ca="1" si="13"/>
        <v>#REF!</v>
      </c>
      <c r="G57" s="176" t="e">
        <f t="shared" ca="1" si="13"/>
        <v>#REF!</v>
      </c>
      <c r="H57" s="176" t="e">
        <f t="shared" ca="1" si="13"/>
        <v>#REF!</v>
      </c>
      <c r="I57" s="176" t="e">
        <f t="shared" ca="1" si="13"/>
        <v>#REF!</v>
      </c>
      <c r="J57" s="176" t="e">
        <f t="shared" ca="1" si="13"/>
        <v>#REF!</v>
      </c>
      <c r="K57" s="176" t="e">
        <f t="shared" ca="1" si="13"/>
        <v>#REF!</v>
      </c>
      <c r="L57" s="176" t="e">
        <f ca="1">IF(L45="","",IF(L45=1,0%,OFFSET(L49,0,-1)+(OFFSET(L54,0,-1))))</f>
        <v>#REF!</v>
      </c>
      <c r="M57" s="176" t="e">
        <f t="shared" ref="M57:W57" ca="1" si="14">IF(M45="","",IF(M45=1,0%,OFFSET(M49,0,-1)+(OFFSET(M54,0,-1))))</f>
        <v>#REF!</v>
      </c>
      <c r="N57" s="176" t="e">
        <f t="shared" ca="1" si="14"/>
        <v>#REF!</v>
      </c>
      <c r="O57" s="176" t="e">
        <f t="shared" ca="1" si="14"/>
        <v>#REF!</v>
      </c>
      <c r="P57" s="176" t="e">
        <f t="shared" ca="1" si="14"/>
        <v>#REF!</v>
      </c>
      <c r="Q57" s="176" t="e">
        <f t="shared" ca="1" si="14"/>
        <v>#REF!</v>
      </c>
      <c r="R57" s="176" t="e">
        <f t="shared" ca="1" si="14"/>
        <v>#REF!</v>
      </c>
      <c r="S57" s="176" t="e">
        <f t="shared" ca="1" si="14"/>
        <v>#REF!</v>
      </c>
      <c r="T57" s="176" t="e">
        <f t="shared" ca="1" si="14"/>
        <v>#REF!</v>
      </c>
      <c r="U57" s="176" t="e">
        <f t="shared" ca="1" si="14"/>
        <v>#REF!</v>
      </c>
      <c r="V57" s="176" t="e">
        <f t="shared" ca="1" si="14"/>
        <v>#REF!</v>
      </c>
      <c r="W57" s="176" t="e">
        <f t="shared" ca="1" si="14"/>
        <v>#REF!</v>
      </c>
      <c r="X57" s="176"/>
      <c r="Y57" s="176"/>
      <c r="Z57" s="177"/>
    </row>
    <row r="58" spans="1:27">
      <c r="A58" s="58" t="s">
        <v>7</v>
      </c>
      <c r="B58" s="51" t="e">
        <f t="shared" ref="B58:W59" si="15">IF(B45="","",B48+B53)</f>
        <v>#REF!</v>
      </c>
      <c r="C58" s="51" t="e">
        <f t="shared" si="15"/>
        <v>#REF!</v>
      </c>
      <c r="D58" s="51" t="e">
        <f t="shared" si="15"/>
        <v>#REF!</v>
      </c>
      <c r="E58" s="51" t="e">
        <f t="shared" si="15"/>
        <v>#REF!</v>
      </c>
      <c r="F58" s="51" t="e">
        <f t="shared" si="15"/>
        <v>#REF!</v>
      </c>
      <c r="G58" s="51" t="e">
        <f t="shared" si="15"/>
        <v>#REF!</v>
      </c>
      <c r="H58" s="51" t="e">
        <f t="shared" si="15"/>
        <v>#REF!</v>
      </c>
      <c r="I58" s="51" t="e">
        <f t="shared" si="15"/>
        <v>#REF!</v>
      </c>
      <c r="J58" s="51" t="e">
        <f t="shared" si="15"/>
        <v>#REF!</v>
      </c>
      <c r="K58" s="51" t="e">
        <f t="shared" si="15"/>
        <v>#REF!</v>
      </c>
      <c r="L58" s="51" t="e">
        <f t="shared" si="15"/>
        <v>#REF!</v>
      </c>
      <c r="M58" s="51" t="e">
        <f t="shared" si="15"/>
        <v>#REF!</v>
      </c>
      <c r="N58" s="51" t="e">
        <f t="shared" si="15"/>
        <v>#REF!</v>
      </c>
      <c r="O58" s="51" t="e">
        <f t="shared" si="15"/>
        <v>#REF!</v>
      </c>
      <c r="P58" s="51" t="e">
        <f t="shared" si="15"/>
        <v>#REF!</v>
      </c>
      <c r="Q58" s="51" t="e">
        <f t="shared" si="15"/>
        <v>#REF!</v>
      </c>
      <c r="R58" s="51" t="e">
        <f t="shared" si="15"/>
        <v>#REF!</v>
      </c>
      <c r="S58" s="51" t="e">
        <f t="shared" si="15"/>
        <v>#REF!</v>
      </c>
      <c r="T58" s="51" t="e">
        <f t="shared" si="15"/>
        <v>#REF!</v>
      </c>
      <c r="U58" s="51" t="e">
        <f t="shared" si="15"/>
        <v>#REF!</v>
      </c>
      <c r="V58" s="51" t="e">
        <f t="shared" si="15"/>
        <v>#REF!</v>
      </c>
      <c r="W58" s="51" t="e">
        <f t="shared" si="15"/>
        <v>#REF!</v>
      </c>
      <c r="X58" s="51"/>
      <c r="Y58" s="51"/>
      <c r="Z58" s="61"/>
    </row>
    <row r="59" spans="1:27" ht="15" thickBot="1">
      <c r="A59" s="179" t="s">
        <v>75</v>
      </c>
      <c r="B59" s="180" t="e">
        <f>IF(B46="","",B49+B54)</f>
        <v>#REF!</v>
      </c>
      <c r="C59" s="180" t="e">
        <f t="shared" si="15"/>
        <v>#REF!</v>
      </c>
      <c r="D59" s="180" t="e">
        <f t="shared" si="15"/>
        <v>#REF!</v>
      </c>
      <c r="E59" s="180" t="e">
        <f t="shared" si="15"/>
        <v>#REF!</v>
      </c>
      <c r="F59" s="180" t="e">
        <f t="shared" si="15"/>
        <v>#REF!</v>
      </c>
      <c r="G59" s="180" t="e">
        <f t="shared" si="15"/>
        <v>#REF!</v>
      </c>
      <c r="H59" s="180" t="e">
        <f t="shared" si="15"/>
        <v>#REF!</v>
      </c>
      <c r="I59" s="180" t="e">
        <f t="shared" si="15"/>
        <v>#REF!</v>
      </c>
      <c r="J59" s="180" t="e">
        <f t="shared" si="15"/>
        <v>#REF!</v>
      </c>
      <c r="K59" s="180" t="e">
        <f t="shared" si="15"/>
        <v>#REF!</v>
      </c>
      <c r="L59" s="180" t="e">
        <f t="shared" si="15"/>
        <v>#REF!</v>
      </c>
      <c r="M59" s="180" t="e">
        <f t="shared" si="15"/>
        <v>#REF!</v>
      </c>
      <c r="N59" s="180" t="e">
        <f t="shared" si="15"/>
        <v>#REF!</v>
      </c>
      <c r="O59" s="180" t="e">
        <f t="shared" si="15"/>
        <v>#REF!</v>
      </c>
      <c r="P59" s="180" t="e">
        <f t="shared" si="15"/>
        <v>#REF!</v>
      </c>
      <c r="Q59" s="180" t="e">
        <f t="shared" si="15"/>
        <v>#REF!</v>
      </c>
      <c r="R59" s="180" t="e">
        <f t="shared" si="15"/>
        <v>#REF!</v>
      </c>
      <c r="S59" s="180" t="e">
        <f t="shared" si="15"/>
        <v>#REF!</v>
      </c>
      <c r="T59" s="180" t="e">
        <f t="shared" si="15"/>
        <v>#REF!</v>
      </c>
      <c r="U59" s="180" t="e">
        <f t="shared" si="15"/>
        <v>#REF!</v>
      </c>
      <c r="V59" s="180" t="e">
        <f t="shared" si="15"/>
        <v>#REF!</v>
      </c>
      <c r="W59" s="180" t="e">
        <f t="shared" si="15"/>
        <v>#REF!</v>
      </c>
      <c r="X59" s="180"/>
      <c r="Y59" s="180"/>
      <c r="Z59" s="181"/>
    </row>
    <row r="60" spans="1:27" ht="15" thickBot="1">
      <c r="A60" s="182" t="s">
        <v>76</v>
      </c>
      <c r="B60" s="183" t="e">
        <f>B47*-1</f>
        <v>#REF!</v>
      </c>
      <c r="C60" s="183" t="e">
        <f>C47*-1</f>
        <v>#REF!</v>
      </c>
      <c r="D60" s="183" t="e">
        <f>D47*-1</f>
        <v>#REF!</v>
      </c>
      <c r="E60" s="183" t="e">
        <f>E47*-1</f>
        <v>#REF!</v>
      </c>
      <c r="F60" s="183" t="e">
        <f t="shared" ref="F60:J60" ca="1" si="16">F52*-1</f>
        <v>#REF!</v>
      </c>
      <c r="G60" s="183" t="e">
        <f t="shared" ca="1" si="16"/>
        <v>#REF!</v>
      </c>
      <c r="H60" s="183" t="e">
        <f t="shared" ca="1" si="16"/>
        <v>#REF!</v>
      </c>
      <c r="I60" s="183" t="e">
        <f t="shared" ca="1" si="16"/>
        <v>#REF!</v>
      </c>
      <c r="J60" s="183" t="e">
        <f t="shared" ca="1" si="16"/>
        <v>#REF!</v>
      </c>
      <c r="K60" s="184" t="e">
        <f>IRR(B60:J60)</f>
        <v>#VALUE!</v>
      </c>
      <c r="L60" s="22" t="s">
        <v>77</v>
      </c>
      <c r="M60" s="12">
        <v>228.93411679487545</v>
      </c>
      <c r="N60" s="183"/>
      <c r="O60" s="183"/>
      <c r="P60" s="183"/>
      <c r="Q60" s="183"/>
      <c r="R60" s="183"/>
      <c r="S60" s="184"/>
      <c r="T60" s="22"/>
      <c r="U60" s="12"/>
      <c r="V60" s="22"/>
      <c r="W60" s="22"/>
      <c r="X60" s="22"/>
      <c r="Y60" s="22"/>
      <c r="Z60" s="22"/>
    </row>
    <row r="61" spans="1:27" ht="15">
      <c r="A61" s="77" t="s">
        <v>8</v>
      </c>
      <c r="B61" s="185"/>
      <c r="C61" s="186"/>
      <c r="D61" s="185"/>
      <c r="E61" s="185"/>
      <c r="F61" s="185"/>
      <c r="G61" s="185"/>
      <c r="H61" s="185"/>
      <c r="I61" s="185"/>
      <c r="J61" s="185"/>
      <c r="K61" s="185"/>
      <c r="L61" s="187"/>
      <c r="M61" s="69"/>
      <c r="N61" s="69"/>
      <c r="O61" s="69"/>
      <c r="P61" s="69"/>
      <c r="Q61" s="69"/>
      <c r="R61" s="69"/>
      <c r="S61" s="69"/>
      <c r="T61" s="69"/>
      <c r="U61" s="69"/>
      <c r="V61" s="69"/>
      <c r="W61" s="69"/>
      <c r="X61" s="69"/>
      <c r="Y61" s="69"/>
      <c r="Z61" s="70"/>
    </row>
    <row r="62" spans="1:27">
      <c r="A62" s="42" t="s">
        <v>1</v>
      </c>
      <c r="B62" s="71" t="e">
        <f>IF((SUM($B$20:$B$21)+5)&gt;=B$196,B$196,"")</f>
        <v>#REF!</v>
      </c>
      <c r="C62" s="71" t="e">
        <f>IF((SUM($B$20:$B$21)+5)&gt;=C$196,C$196,"")</f>
        <v>#REF!</v>
      </c>
      <c r="D62" s="71" t="e">
        <f>IF((SUM($B$20:$B$21)+5)&gt;=D$196,D$196,"")</f>
        <v>#REF!</v>
      </c>
      <c r="E62" s="71" t="e">
        <f>IF((SUM($B$20:$B$21)+5)&gt;=E$196,E$196,"")</f>
        <v>#REF!</v>
      </c>
      <c r="F62" s="71" t="e">
        <f>IF((SUM($B$20:$B$21)+5)&gt;=F$196,F$196,"")</f>
        <v>#REF!</v>
      </c>
      <c r="G62" s="71" t="e">
        <f>IF((SUM($B$20:$B$21)+5)&gt;=G$179,G$179,"")</f>
        <v>#REF!</v>
      </c>
      <c r="H62" s="71" t="e">
        <f>IF((SUM($B$20:$B$21)+5)&gt;=H$179,H$179,"")</f>
        <v>#REF!</v>
      </c>
      <c r="I62" s="71" t="e">
        <f>IF((SUM($B$20:$B$21)+5)&gt;=I$179,I$179,"")</f>
        <v>#REF!</v>
      </c>
      <c r="J62" s="71" t="e">
        <f>IF((SUM($B$20:$B$21)+5)&gt;=J$179,J$179,"")</f>
        <v>#REF!</v>
      </c>
      <c r="K62" s="71" t="e">
        <f t="shared" ref="K62:Z62" si="17">IF((SUM($B$20:$B$21)+5)&gt;=K$196,K$196,"")</f>
        <v>#REF!</v>
      </c>
      <c r="L62" s="71" t="e">
        <f t="shared" si="17"/>
        <v>#REF!</v>
      </c>
      <c r="M62" s="71" t="e">
        <f t="shared" si="17"/>
        <v>#REF!</v>
      </c>
      <c r="N62" s="71" t="e">
        <f t="shared" si="17"/>
        <v>#REF!</v>
      </c>
      <c r="O62" s="71" t="e">
        <f t="shared" si="17"/>
        <v>#REF!</v>
      </c>
      <c r="P62" s="71" t="e">
        <f t="shared" si="17"/>
        <v>#REF!</v>
      </c>
      <c r="Q62" s="71" t="e">
        <f t="shared" si="17"/>
        <v>#REF!</v>
      </c>
      <c r="R62" s="71" t="e">
        <f t="shared" si="17"/>
        <v>#REF!</v>
      </c>
      <c r="S62" s="71" t="e">
        <f t="shared" si="17"/>
        <v>#REF!</v>
      </c>
      <c r="T62" s="71" t="e">
        <f t="shared" si="17"/>
        <v>#REF!</v>
      </c>
      <c r="U62" s="71" t="e">
        <f t="shared" si="17"/>
        <v>#REF!</v>
      </c>
      <c r="V62" s="71" t="e">
        <f t="shared" si="17"/>
        <v>#REF!</v>
      </c>
      <c r="W62" s="71" t="e">
        <f t="shared" si="17"/>
        <v>#REF!</v>
      </c>
      <c r="X62" s="71" t="e">
        <f t="shared" si="17"/>
        <v>#REF!</v>
      </c>
      <c r="Y62" s="71" t="e">
        <f t="shared" si="17"/>
        <v>#REF!</v>
      </c>
      <c r="Z62" s="71" t="e">
        <f t="shared" si="17"/>
        <v>#REF!</v>
      </c>
    </row>
    <row r="63" spans="1:27">
      <c r="A63" s="42" t="s">
        <v>33</v>
      </c>
      <c r="B63" s="51">
        <v>1</v>
      </c>
      <c r="C63" s="51" t="e">
        <f t="shared" ref="C63:L63" si="18">IF(C62="","",IF(C$62&lt;=$B$20,IF(B63=100%,100%,0%),IF(B63=100%,(C$56+C$58)/2,(C$56+C$58)/2)))</f>
        <v>#REF!</v>
      </c>
      <c r="D63" s="51" t="e">
        <f t="shared" si="18"/>
        <v>#REF!</v>
      </c>
      <c r="E63" s="51" t="e">
        <f t="shared" si="18"/>
        <v>#REF!</v>
      </c>
      <c r="F63" s="51" t="e">
        <f t="shared" si="18"/>
        <v>#REF!</v>
      </c>
      <c r="G63" s="51" t="e">
        <f t="shared" si="18"/>
        <v>#REF!</v>
      </c>
      <c r="H63" s="51" t="e">
        <f t="shared" si="18"/>
        <v>#REF!</v>
      </c>
      <c r="I63" s="51" t="e">
        <f t="shared" si="18"/>
        <v>#REF!</v>
      </c>
      <c r="J63" s="51" t="e">
        <f t="shared" si="18"/>
        <v>#REF!</v>
      </c>
      <c r="K63" s="51" t="e">
        <f t="shared" si="18"/>
        <v>#REF!</v>
      </c>
      <c r="L63" s="51" t="e">
        <f t="shared" si="18"/>
        <v>#REF!</v>
      </c>
      <c r="M63" s="51" t="e">
        <f t="shared" ref="M63:Z63" si="19">IF(M62="","",IF(M$62&lt;=$B$20,IF(L63=100%,100%,0%),IF(L63=100%,(L$58+L56)/2*L63+L51,(M56+M58)/2)))</f>
        <v>#REF!</v>
      </c>
      <c r="N63" s="51" t="e">
        <f t="shared" si="19"/>
        <v>#REF!</v>
      </c>
      <c r="O63" s="51" t="e">
        <f t="shared" si="19"/>
        <v>#REF!</v>
      </c>
      <c r="P63" s="51" t="e">
        <f t="shared" si="19"/>
        <v>#REF!</v>
      </c>
      <c r="Q63" s="51" t="e">
        <f t="shared" si="19"/>
        <v>#REF!</v>
      </c>
      <c r="R63" s="51" t="e">
        <f t="shared" si="19"/>
        <v>#REF!</v>
      </c>
      <c r="S63" s="51" t="e">
        <f t="shared" si="19"/>
        <v>#REF!</v>
      </c>
      <c r="T63" s="51" t="e">
        <f t="shared" si="19"/>
        <v>#REF!</v>
      </c>
      <c r="U63" s="51" t="e">
        <f t="shared" si="19"/>
        <v>#REF!</v>
      </c>
      <c r="V63" s="51" t="e">
        <f t="shared" si="19"/>
        <v>#REF!</v>
      </c>
      <c r="W63" s="51" t="e">
        <f t="shared" si="19"/>
        <v>#REF!</v>
      </c>
      <c r="X63" s="51" t="e">
        <f t="shared" si="19"/>
        <v>#REF!</v>
      </c>
      <c r="Y63" s="51" t="e">
        <f t="shared" si="19"/>
        <v>#REF!</v>
      </c>
      <c r="Z63" s="61" t="e">
        <f t="shared" si="19"/>
        <v>#REF!</v>
      </c>
      <c r="AA63" s="92"/>
    </row>
    <row r="64" spans="1:27" s="92" customFormat="1">
      <c r="A64" s="188" t="s">
        <v>78</v>
      </c>
      <c r="B64" s="189" t="e">
        <f t="shared" ref="B64:O64" si="20">IF(B$62="","",B$63*$B$15)</f>
        <v>#REF!</v>
      </c>
      <c r="C64" s="189" t="e">
        <f t="shared" si="20"/>
        <v>#REF!</v>
      </c>
      <c r="D64" s="189" t="e">
        <f t="shared" si="20"/>
        <v>#REF!</v>
      </c>
      <c r="E64" s="189" t="e">
        <f t="shared" si="20"/>
        <v>#REF!</v>
      </c>
      <c r="F64" s="189" t="e">
        <f t="shared" si="20"/>
        <v>#REF!</v>
      </c>
      <c r="G64" s="189" t="e">
        <f t="shared" si="20"/>
        <v>#REF!</v>
      </c>
      <c r="H64" s="189" t="e">
        <f t="shared" si="20"/>
        <v>#REF!</v>
      </c>
      <c r="I64" s="189" t="e">
        <f t="shared" si="20"/>
        <v>#REF!</v>
      </c>
      <c r="J64" s="189" t="e">
        <f t="shared" si="20"/>
        <v>#REF!</v>
      </c>
      <c r="K64" s="189" t="e">
        <f t="shared" si="20"/>
        <v>#REF!</v>
      </c>
      <c r="L64" s="189" t="e">
        <f t="shared" si="20"/>
        <v>#REF!</v>
      </c>
      <c r="M64" s="189" t="e">
        <f t="shared" si="20"/>
        <v>#REF!</v>
      </c>
      <c r="N64" s="189" t="e">
        <f t="shared" si="20"/>
        <v>#REF!</v>
      </c>
      <c r="O64" s="189" t="e">
        <f t="shared" si="20"/>
        <v>#REF!</v>
      </c>
      <c r="P64" s="189"/>
      <c r="Q64" s="176"/>
      <c r="R64" s="176"/>
      <c r="S64" s="176"/>
      <c r="T64" s="176"/>
      <c r="U64" s="176"/>
      <c r="V64" s="176"/>
      <c r="W64" s="176"/>
      <c r="X64" s="176"/>
      <c r="Y64" s="176"/>
      <c r="Z64" s="177"/>
      <c r="AA64"/>
    </row>
    <row r="65" spans="1:26">
      <c r="A65" s="74" t="s">
        <v>9</v>
      </c>
      <c r="B65" s="73" t="e">
        <f t="shared" ref="B65:K65" si="21">IF(B62="","",IF(B$63=1,B$63*$B$29,B$63*$B$30))</f>
        <v>#REF!</v>
      </c>
      <c r="C65" s="73" t="e">
        <f t="shared" si="21"/>
        <v>#REF!</v>
      </c>
      <c r="D65" s="73" t="e">
        <f t="shared" si="21"/>
        <v>#REF!</v>
      </c>
      <c r="E65" s="73" t="e">
        <f t="shared" si="21"/>
        <v>#REF!</v>
      </c>
      <c r="F65" s="73" t="e">
        <f t="shared" si="21"/>
        <v>#REF!</v>
      </c>
      <c r="G65" s="73" t="e">
        <f t="shared" si="21"/>
        <v>#REF!</v>
      </c>
      <c r="H65" s="73" t="e">
        <f t="shared" si="21"/>
        <v>#REF!</v>
      </c>
      <c r="I65" s="73" t="e">
        <f t="shared" si="21"/>
        <v>#REF!</v>
      </c>
      <c r="J65" s="73" t="e">
        <f t="shared" si="21"/>
        <v>#REF!</v>
      </c>
      <c r="K65" s="73" t="e">
        <f t="shared" si="21"/>
        <v>#REF!</v>
      </c>
      <c r="L65" s="73" t="e">
        <f ca="1">OFFSET(L$65,0,-1)*0.8</f>
        <v>#REF!</v>
      </c>
      <c r="M65" s="73" t="e">
        <f ca="1">OFFSET(M$65,0,-1)*0.8</f>
        <v>#REF!</v>
      </c>
      <c r="N65" s="73" t="e">
        <f ca="1">OFFSET(N$65,0,-1)*0.8</f>
        <v>#REF!</v>
      </c>
      <c r="O65" s="73" t="e">
        <f ca="1">OFFSET(O$65,0,-1)*0.8</f>
        <v>#REF!</v>
      </c>
      <c r="P65" s="73"/>
      <c r="Q65" s="73"/>
      <c r="R65" s="73"/>
      <c r="S65" s="73"/>
      <c r="T65" s="73"/>
      <c r="U65" s="73"/>
      <c r="V65" s="73"/>
      <c r="W65" s="73"/>
      <c r="X65" s="73"/>
      <c r="Y65" s="73"/>
      <c r="Z65" s="45"/>
    </row>
    <row r="66" spans="1:26">
      <c r="A66" s="190" t="s">
        <v>79</v>
      </c>
      <c r="B66" s="176" t="e">
        <f t="shared" ref="B66:K66" si="22">IF(B62="","",IF(B$63=1,B$63*$B$29*$B$15,B$63*$B$30*$B$15))</f>
        <v>#REF!</v>
      </c>
      <c r="C66" s="176" t="e">
        <f t="shared" si="22"/>
        <v>#REF!</v>
      </c>
      <c r="D66" s="176" t="e">
        <f t="shared" si="22"/>
        <v>#REF!</v>
      </c>
      <c r="E66" s="176" t="e">
        <f t="shared" si="22"/>
        <v>#REF!</v>
      </c>
      <c r="F66" s="176" t="e">
        <f t="shared" si="22"/>
        <v>#REF!</v>
      </c>
      <c r="G66" s="176" t="e">
        <f t="shared" si="22"/>
        <v>#REF!</v>
      </c>
      <c r="H66" s="176" t="e">
        <f t="shared" si="22"/>
        <v>#REF!</v>
      </c>
      <c r="I66" s="176" t="e">
        <f t="shared" si="22"/>
        <v>#REF!</v>
      </c>
      <c r="J66" s="176" t="e">
        <f t="shared" si="22"/>
        <v>#REF!</v>
      </c>
      <c r="K66" s="176" t="e">
        <f t="shared" si="22"/>
        <v>#REF!</v>
      </c>
      <c r="L66" s="176" t="e">
        <f ca="1">OFFSET(L$66,0,-1)*0.8</f>
        <v>#REF!</v>
      </c>
      <c r="M66" s="176" t="e">
        <f ca="1">OFFSET(M$66,0,-1)*0.8</f>
        <v>#REF!</v>
      </c>
      <c r="N66" s="176" t="e">
        <f ca="1">OFFSET(N$66,0,-1)*0.8</f>
        <v>#REF!</v>
      </c>
      <c r="O66" s="176" t="e">
        <f ca="1">OFFSET(O$66,0,-1)*0.8</f>
        <v>#REF!</v>
      </c>
      <c r="P66" s="176"/>
      <c r="Q66" s="176"/>
      <c r="R66" s="176"/>
      <c r="S66" s="176"/>
      <c r="T66" s="176"/>
      <c r="U66" s="176"/>
      <c r="V66" s="176"/>
      <c r="W66" s="176"/>
      <c r="X66" s="176"/>
      <c r="Y66" s="176"/>
      <c r="Z66" s="176"/>
    </row>
    <row r="67" spans="1:26">
      <c r="A67" s="74" t="s">
        <v>29</v>
      </c>
      <c r="B67" s="73" t="e">
        <f t="shared" ref="B67:K67" si="23">IF(B$62="","",$B$32*B$63)</f>
        <v>#REF!</v>
      </c>
      <c r="C67" s="73" t="e">
        <f t="shared" si="23"/>
        <v>#REF!</v>
      </c>
      <c r="D67" s="73" t="e">
        <f t="shared" si="23"/>
        <v>#REF!</v>
      </c>
      <c r="E67" s="73" t="e">
        <f t="shared" si="23"/>
        <v>#REF!</v>
      </c>
      <c r="F67" s="73" t="e">
        <f t="shared" si="23"/>
        <v>#REF!</v>
      </c>
      <c r="G67" s="73" t="e">
        <f t="shared" si="23"/>
        <v>#REF!</v>
      </c>
      <c r="H67" s="73" t="e">
        <f t="shared" si="23"/>
        <v>#REF!</v>
      </c>
      <c r="I67" s="73" t="e">
        <f t="shared" si="23"/>
        <v>#REF!</v>
      </c>
      <c r="J67" s="73" t="e">
        <f t="shared" si="23"/>
        <v>#REF!</v>
      </c>
      <c r="K67" s="73" t="e">
        <f t="shared" si="23"/>
        <v>#REF!</v>
      </c>
      <c r="L67" s="73" t="e">
        <f ca="1">OFFSET(L$67,0,-1)*0.8</f>
        <v>#REF!</v>
      </c>
      <c r="M67" s="73" t="e">
        <f ca="1">OFFSET(M$67,0,-1)*0.8</f>
        <v>#REF!</v>
      </c>
      <c r="N67" s="73" t="e">
        <f ca="1">OFFSET(N$67,0,-1)*0.8</f>
        <v>#REF!</v>
      </c>
      <c r="O67" s="73" t="e">
        <f ca="1">OFFSET(O$67,0,-1)*0.8</f>
        <v>#REF!</v>
      </c>
      <c r="P67" s="73"/>
      <c r="Q67" s="73"/>
      <c r="R67" s="73"/>
      <c r="S67" s="73"/>
      <c r="T67" s="73"/>
      <c r="U67" s="73"/>
      <c r="V67" s="73"/>
      <c r="W67" s="73"/>
      <c r="X67" s="73"/>
      <c r="Y67" s="73"/>
      <c r="Z67" s="73"/>
    </row>
    <row r="68" spans="1:26">
      <c r="A68" s="190" t="s">
        <v>80</v>
      </c>
      <c r="B68" s="176" t="e">
        <f t="shared" ref="B68:K68" si="24">IF(B$62="","",$B$32*B$64)</f>
        <v>#REF!</v>
      </c>
      <c r="C68" s="176" t="e">
        <f t="shared" si="24"/>
        <v>#REF!</v>
      </c>
      <c r="D68" s="176" t="e">
        <f t="shared" si="24"/>
        <v>#REF!</v>
      </c>
      <c r="E68" s="176" t="e">
        <f t="shared" si="24"/>
        <v>#REF!</v>
      </c>
      <c r="F68" s="176" t="e">
        <f t="shared" si="24"/>
        <v>#REF!</v>
      </c>
      <c r="G68" s="176" t="e">
        <f t="shared" si="24"/>
        <v>#REF!</v>
      </c>
      <c r="H68" s="176" t="e">
        <f t="shared" si="24"/>
        <v>#REF!</v>
      </c>
      <c r="I68" s="176" t="e">
        <f t="shared" si="24"/>
        <v>#REF!</v>
      </c>
      <c r="J68" s="176" t="e">
        <f t="shared" si="24"/>
        <v>#REF!</v>
      </c>
      <c r="K68" s="176" t="e">
        <f t="shared" si="24"/>
        <v>#REF!</v>
      </c>
      <c r="L68" s="176" t="e">
        <f ca="1">OFFSET(L$68,0,-1)*0.8</f>
        <v>#REF!</v>
      </c>
      <c r="M68" s="176" t="e">
        <f ca="1">OFFSET(M$68,0,-1)*0.8</f>
        <v>#REF!</v>
      </c>
      <c r="N68" s="176" t="e">
        <f ca="1">OFFSET(N$68,0,-1)*0.8</f>
        <v>#REF!</v>
      </c>
      <c r="O68" s="176" t="e">
        <f ca="1">OFFSET(O$68,0,-1)*0.8</f>
        <v>#REF!</v>
      </c>
      <c r="P68" s="176"/>
      <c r="Q68" s="176"/>
      <c r="R68" s="176"/>
      <c r="S68" s="176"/>
      <c r="T68" s="176"/>
      <c r="U68" s="176"/>
      <c r="V68" s="176"/>
      <c r="W68" s="176"/>
      <c r="X68" s="176"/>
      <c r="Y68" s="176"/>
      <c r="Z68" s="176"/>
    </row>
    <row r="69" spans="1:26">
      <c r="A69" s="74" t="s">
        <v>50</v>
      </c>
      <c r="B69" s="73" t="e">
        <f ca="1">IF(B$63="","",IF($B$5="Buy-out",IF(#REF!&lt;=B$63,OFFSET(B$69,0,-1)*#REF!,B65+B67),IF(#REF!&lt;=B$63,OFFSET(B$69,0,-1)*#REF!,B65+B67)))</f>
        <v>#REF!</v>
      </c>
      <c r="C69" s="73" t="e">
        <f ca="1">IF(C$63="","",IF($B$5="Buy-out",IF(#REF!&lt;=C$63,OFFSET(C$69,0,-1)*#REF!,C65+C67),IF(#REF!&lt;=C$63,OFFSET(C$69,0,-1)*#REF!,C65+C67)))</f>
        <v>#REF!</v>
      </c>
      <c r="D69" s="73" t="e">
        <f ca="1">IF(D$63="","",IF($B$5="Buy-out",IF(#REF!&lt;=D$63,OFFSET(D$69,0,-1)*#REF!,D65+D67),IF(#REF!&lt;=D$63,OFFSET(D$69,0,-1)*#REF!,D65+D67)))</f>
        <v>#REF!</v>
      </c>
      <c r="E69" s="73" t="e">
        <f ca="1">IF(E$63="","",IF($B$5="Buy-out",IF(#REF!&lt;=E$63,OFFSET(E$69,0,-1)*#REF!,E65+E67),IF(#REF!&lt;=E$63,OFFSET(E$69,0,-1)*#REF!,E65+E67)))</f>
        <v>#REF!</v>
      </c>
      <c r="F69" s="73" t="e">
        <f ca="1">IF(F$63="","",IF($B$5="Buy-out",IF(#REF!&lt;=F$63,OFFSET(F$69,0,-1)*#REF!,F65+F67),IF(#REF!&lt;=F$63,OFFSET(F$69,0,-1)*#REF!,F65+F67)))</f>
        <v>#REF!</v>
      </c>
      <c r="G69" s="73" t="e">
        <f ca="1">IF(G$63="","",IF($B$5="Buy-out",IF(#REF!&lt;=G$63,OFFSET(G$69,0,-1)*#REF!,G65+G67),IF(#REF!&lt;=G$63,OFFSET(G$69,0,-1)*#REF!,G65+G67)))</f>
        <v>#REF!</v>
      </c>
      <c r="H69" s="73" t="e">
        <f ca="1">IF(H$63="","",IF($B$5="Buy-out",IF(#REF!&lt;=H$63,OFFSET(H$69,0,-1)*#REF!,H65+H67),IF(#REF!&lt;=H$63,OFFSET(H$69,0,-1)*#REF!,H65+H67)))</f>
        <v>#REF!</v>
      </c>
      <c r="I69" s="73" t="e">
        <f ca="1">IF(I$63="","",IF($B$5="Buy-out",IF(#REF!&lt;=I$63,OFFSET(I$69,0,-1)*#REF!,I65+I67),IF(#REF!&lt;=I$63,OFFSET(I$69,0,-1)*#REF!,I65+I67)))</f>
        <v>#REF!</v>
      </c>
      <c r="J69" s="73" t="e">
        <f ca="1">IF(J$63="","",IF($B$5="Buy-out",IF(#REF!&lt;=J$63,OFFSET(J$69,0,-1)*#REF!,J65+J67),IF(#REF!&lt;=J$63,OFFSET(J$69,0,-1)*#REF!,J65+J67)))</f>
        <v>#REF!</v>
      </c>
      <c r="K69" s="73" t="e">
        <f ca="1">IF(K$63="","",IF($B$5="Buy-out",IF(#REF!&lt;=K$63,OFFSET(K$69,0,-1)*#REF!,K65+K67),IF(#REF!&lt;=K$63,OFFSET(K$69,0,-1)*#REF!,K65+K67)))</f>
        <v>#REF!</v>
      </c>
      <c r="L69" s="73" t="e">
        <f ca="1">IF(L$63="","",IF($B$5="Buy-out",IF('[1]Sats for VF '!$J$21&lt;=L$63,OFFSET(L$69,0,-1)*'[1]Sats for VF '!$J$20,L65+L67),IF('[1]Sats for VF '!$U$21&lt;=L$63,OFFSET(L$69,0,-1)*'[1]Sats for VF '!$U$20,L65+L67)))</f>
        <v>#REF!</v>
      </c>
      <c r="M69" s="73" t="e">
        <f ca="1">IF(M$63="","",IF($B$5="Buy-out",IF('[1]Sats for VF '!$J$21&lt;=M$63,OFFSET(M$69,0,-1)*'[1]Sats for VF '!$J$20,M65+M67),IF('[1]Sats for VF '!$U$21&lt;=M$63,OFFSET(M$69,0,-1)*'[1]Sats for VF '!$U$20,M65+M67)))</f>
        <v>#REF!</v>
      </c>
      <c r="N69" s="73" t="e">
        <f ca="1">IF(N$63="","",IF($B$5="Buy-out",IF('[1]Sats for VF '!$J$21&lt;=N$63,OFFSET(N$69,0,-1)*'[1]Sats for VF '!$J$20,N65+N67),IF('[1]Sats for VF '!$U$21&lt;=N$63,OFFSET(N$69,0,-1)*'[1]Sats for VF '!$U$20,N65+N67)))</f>
        <v>#REF!</v>
      </c>
      <c r="O69" s="73" t="e">
        <f ca="1">IF(O$63="","",IF($B$5="Buy-out",IF('[1]Sats for VF '!$J$21&lt;=O$63,OFFSET(O$69,0,-1)*'[1]Sats for VF '!$J$20,O65+O67),IF('[1]Sats for VF '!$U$21&lt;=O$63,OFFSET(O$69,0,-1)*'[1]Sats for VF '!$U$20,O65+O67)))</f>
        <v>#REF!</v>
      </c>
      <c r="P69" s="73"/>
      <c r="Q69" s="73"/>
      <c r="R69" s="73"/>
      <c r="S69" s="73"/>
      <c r="T69" s="73"/>
      <c r="U69" s="73"/>
      <c r="V69" s="73"/>
      <c r="W69" s="73"/>
      <c r="X69" s="73"/>
      <c r="Y69" s="73"/>
      <c r="Z69" s="45"/>
    </row>
    <row r="70" spans="1:26">
      <c r="A70" s="190" t="s">
        <v>81</v>
      </c>
      <c r="B70" s="176" t="e">
        <f ca="1">IF(B$63="","",IF($B$5="Buy-out",IF(#REF!&lt;=B$63,OFFSET(B$70,0,-1)*#REF!,B66+B68),IF(#REF!&lt;=B$63,OFFSET(B$70,0,-1)*#REF!,B66+B68)))</f>
        <v>#REF!</v>
      </c>
      <c r="C70" s="176" t="e">
        <f ca="1">IF(C$63="","",IF($B$5="Buy-out",IF(#REF!&lt;=C$63,OFFSET(C$70,0,-1)*#REF!,C66+C68),IF(#REF!&lt;=C$63,OFFSET(C$70,0,-1)*#REF!,C66+C68)))</f>
        <v>#REF!</v>
      </c>
      <c r="D70" s="176" t="e">
        <f ca="1">IF(D$63="","",IF($B$5="Buy-out",IF(#REF!&lt;=D$63,OFFSET(D$70,0,-1)*#REF!,D66+D68),IF(#REF!&lt;=D$63,OFFSET(D$70,0,-1)*#REF!,D66+D68)))</f>
        <v>#REF!</v>
      </c>
      <c r="E70" s="176" t="e">
        <f ca="1">IF(E$63="","",IF($B$5="Buy-out",IF(#REF!&lt;=E$63,OFFSET(E$70,0,-1)*#REF!,E66+E68),IF(#REF!&lt;=E$63,OFFSET(E$70,0,-1)*#REF!,E66+E68)))</f>
        <v>#REF!</v>
      </c>
      <c r="F70" s="176" t="e">
        <f ca="1">IF(F$63="","",IF($B$5="Buy-out",IF(#REF!&lt;=F$63,OFFSET(F$70,0,-1)*#REF!,F66+F68),IF(#REF!&lt;=F$63,OFFSET(F$70,0,-1)*#REF!,F66+F68)))</f>
        <v>#REF!</v>
      </c>
      <c r="G70" s="176" t="e">
        <f ca="1">IF(G$63="","",IF($B$5="Buy-out",IF(#REF!&lt;=G$63,OFFSET(G$70,0,-1)*#REF!,G66+G68),IF(#REF!&lt;=G$63,OFFSET(G$70,0,-1)*#REF!,G66+G68)))</f>
        <v>#REF!</v>
      </c>
      <c r="H70" s="176" t="e">
        <f ca="1">IF(H$63="","",IF($B$5="Buy-out",IF(#REF!&lt;=H$63,OFFSET(H$70,0,-1)*#REF!,H66+H68),IF(#REF!&lt;=H$63,OFFSET(H$70,0,-1)*#REF!,H66+H68)))</f>
        <v>#REF!</v>
      </c>
      <c r="I70" s="176" t="e">
        <f ca="1">IF(I$63="","",IF($B$5="Buy-out",IF(#REF!&lt;=I$63,OFFSET(I$70,0,-1)*#REF!,I66+I68),IF(#REF!&lt;=I$63,OFFSET(I$70,0,-1)*#REF!,I66+I68)))</f>
        <v>#REF!</v>
      </c>
      <c r="J70" s="176" t="e">
        <f ca="1">IF(J$63="","",IF($B$5="Buy-out",IF(#REF!&lt;=J$63,OFFSET(J$70,0,-1)*#REF!,J66+J68),IF(#REF!&lt;=J$63,OFFSET(J$70,0,-1)*#REF!,J66+J68)))</f>
        <v>#REF!</v>
      </c>
      <c r="K70" s="176" t="e">
        <f ca="1">IF(K$63="","",IF($B$5="Buy-out",IF(#REF!&lt;=K$63,OFFSET(K$70,0,-1)*#REF!,K66+K68),IF(#REF!&lt;=K$63,OFFSET(K$70,0,-1)*#REF!,K66+K68)))</f>
        <v>#REF!</v>
      </c>
      <c r="L70" s="176" t="e">
        <f ca="1">OFFSET(L70,0,-1)*0.8</f>
        <v>#REF!</v>
      </c>
      <c r="M70" s="176" t="e">
        <f ca="1">OFFSET(M70,0,-1)*0.8</f>
        <v>#REF!</v>
      </c>
      <c r="N70" s="176" t="e">
        <f ca="1">OFFSET(N70,0,-1)*0.8</f>
        <v>#REF!</v>
      </c>
      <c r="O70" s="176" t="e">
        <f ca="1">OFFSET(O70,0,-1)*0.8</f>
        <v>#REF!</v>
      </c>
      <c r="P70" s="176"/>
      <c r="Q70" s="176"/>
      <c r="R70" s="176"/>
      <c r="S70" s="176"/>
      <c r="T70" s="176"/>
      <c r="U70" s="176"/>
      <c r="V70" s="176"/>
      <c r="W70" s="176"/>
      <c r="X70" s="176"/>
      <c r="Y70" s="176"/>
      <c r="Z70" s="177"/>
    </row>
    <row r="71" spans="1:26">
      <c r="A71" s="74" t="s">
        <v>51</v>
      </c>
      <c r="B71" s="17" t="e">
        <f t="shared" ref="B71:O71" si="25">IF(B62&gt;$B$20,IF($K$78&gt;$B$36,IF($K$78&gt;$B$38,(((((1+$K$78)^$B$21)-1)*$B$35))/$B$21,(($K$78-$B$36)*$B$37)),0),0)</f>
        <v>#REF!</v>
      </c>
      <c r="C71" s="17" t="e">
        <f t="shared" si="25"/>
        <v>#REF!</v>
      </c>
      <c r="D71" s="17" t="e">
        <f t="shared" si="25"/>
        <v>#REF!</v>
      </c>
      <c r="E71" s="17" t="e">
        <f t="shared" si="25"/>
        <v>#REF!</v>
      </c>
      <c r="F71" s="17" t="e">
        <f t="shared" si="25"/>
        <v>#REF!</v>
      </c>
      <c r="G71" s="17" t="e">
        <f t="shared" si="25"/>
        <v>#REF!</v>
      </c>
      <c r="H71" s="17" t="e">
        <f t="shared" si="25"/>
        <v>#REF!</v>
      </c>
      <c r="I71" s="17" t="e">
        <f t="shared" si="25"/>
        <v>#REF!</v>
      </c>
      <c r="J71" s="17" t="e">
        <f t="shared" si="25"/>
        <v>#REF!</v>
      </c>
      <c r="K71" s="17" t="e">
        <f t="shared" si="25"/>
        <v>#REF!</v>
      </c>
      <c r="L71" s="17" t="e">
        <f t="shared" si="25"/>
        <v>#REF!</v>
      </c>
      <c r="M71" s="17" t="e">
        <f t="shared" si="25"/>
        <v>#REF!</v>
      </c>
      <c r="N71" s="17" t="e">
        <f t="shared" si="25"/>
        <v>#REF!</v>
      </c>
      <c r="O71" s="17" t="e">
        <f t="shared" si="25"/>
        <v>#REF!</v>
      </c>
      <c r="P71" s="17"/>
      <c r="Q71" s="17"/>
      <c r="R71" s="17"/>
      <c r="S71" s="17"/>
      <c r="T71" s="17"/>
      <c r="U71" s="17"/>
      <c r="V71" s="17"/>
      <c r="W71" s="17"/>
      <c r="X71" s="17"/>
      <c r="Y71" s="17"/>
      <c r="Z71" s="17"/>
    </row>
    <row r="72" spans="1:26">
      <c r="A72" s="190" t="s">
        <v>82</v>
      </c>
      <c r="B72" s="176" t="e">
        <f>IF(B$62="","",B$71*B$64)</f>
        <v>#REF!</v>
      </c>
      <c r="C72" s="176" t="e">
        <f t="shared" ref="C72:O72" si="26">IF(C$62="","",C$71*C$64)</f>
        <v>#REF!</v>
      </c>
      <c r="D72" s="176" t="e">
        <f t="shared" si="26"/>
        <v>#REF!</v>
      </c>
      <c r="E72" s="176" t="e">
        <f t="shared" si="26"/>
        <v>#REF!</v>
      </c>
      <c r="F72" s="176" t="e">
        <f t="shared" si="26"/>
        <v>#REF!</v>
      </c>
      <c r="G72" s="176" t="e">
        <f t="shared" si="26"/>
        <v>#REF!</v>
      </c>
      <c r="H72" s="176" t="e">
        <f t="shared" si="26"/>
        <v>#REF!</v>
      </c>
      <c r="I72" s="176" t="e">
        <f t="shared" si="26"/>
        <v>#REF!</v>
      </c>
      <c r="J72" s="176" t="e">
        <f t="shared" si="26"/>
        <v>#REF!</v>
      </c>
      <c r="K72" s="176" t="e">
        <f t="shared" si="26"/>
        <v>#REF!</v>
      </c>
      <c r="L72" s="176" t="e">
        <f t="shared" si="26"/>
        <v>#REF!</v>
      </c>
      <c r="M72" s="176" t="e">
        <f t="shared" si="26"/>
        <v>#REF!</v>
      </c>
      <c r="N72" s="176" t="e">
        <f t="shared" si="26"/>
        <v>#REF!</v>
      </c>
      <c r="O72" s="176" t="e">
        <f t="shared" si="26"/>
        <v>#REF!</v>
      </c>
      <c r="P72" s="176"/>
      <c r="Q72" s="176"/>
      <c r="R72" s="176"/>
      <c r="S72" s="176"/>
      <c r="T72" s="176"/>
      <c r="U72" s="176"/>
      <c r="V72" s="176"/>
      <c r="W72" s="176"/>
      <c r="X72" s="176"/>
      <c r="Y72" s="176"/>
      <c r="Z72" s="176"/>
    </row>
    <row r="73" spans="1:26">
      <c r="A73" s="191" t="s">
        <v>83</v>
      </c>
      <c r="B73" s="73" t="e">
        <f t="shared" ref="B73:O73" si="27">IF(B$62="","",IF(B$62&gt;$B$20,B$63/SUM($F$63:$L$63)*$F$86,0))</f>
        <v>#REF!</v>
      </c>
      <c r="C73" s="73" t="e">
        <f t="shared" si="27"/>
        <v>#REF!</v>
      </c>
      <c r="D73" s="73" t="e">
        <f t="shared" si="27"/>
        <v>#REF!</v>
      </c>
      <c r="E73" s="73" t="e">
        <f t="shared" si="27"/>
        <v>#REF!</v>
      </c>
      <c r="F73" s="73" t="e">
        <f t="shared" si="27"/>
        <v>#REF!</v>
      </c>
      <c r="G73" s="73" t="e">
        <f t="shared" si="27"/>
        <v>#REF!</v>
      </c>
      <c r="H73" s="73" t="e">
        <f t="shared" si="27"/>
        <v>#REF!</v>
      </c>
      <c r="I73" s="73" t="e">
        <f t="shared" si="27"/>
        <v>#REF!</v>
      </c>
      <c r="J73" s="73" t="e">
        <f t="shared" si="27"/>
        <v>#REF!</v>
      </c>
      <c r="K73" s="73" t="e">
        <f t="shared" si="27"/>
        <v>#REF!</v>
      </c>
      <c r="L73" s="73" t="e">
        <f t="shared" si="27"/>
        <v>#REF!</v>
      </c>
      <c r="M73" s="73" t="e">
        <f t="shared" si="27"/>
        <v>#REF!</v>
      </c>
      <c r="N73" s="73" t="e">
        <f t="shared" si="27"/>
        <v>#REF!</v>
      </c>
      <c r="O73" s="73" t="e">
        <f t="shared" si="27"/>
        <v>#REF!</v>
      </c>
      <c r="P73" s="73"/>
      <c r="Q73" s="73"/>
      <c r="R73" s="73"/>
      <c r="S73" s="73"/>
      <c r="T73" s="73"/>
      <c r="U73" s="73"/>
      <c r="V73" s="73"/>
      <c r="W73" s="73"/>
      <c r="X73" s="176"/>
      <c r="Y73" s="176"/>
      <c r="Z73" s="176"/>
    </row>
    <row r="74" spans="1:26">
      <c r="A74" s="190" t="s">
        <v>82</v>
      </c>
      <c r="B74" s="176" t="e">
        <f t="shared" ref="B74:O74" si="28">IF(B$62="","",IF(B$62&gt;$B$14,B73*B64,0))</f>
        <v>#REF!</v>
      </c>
      <c r="C74" s="176" t="e">
        <f t="shared" si="28"/>
        <v>#REF!</v>
      </c>
      <c r="D74" s="176" t="e">
        <f t="shared" si="28"/>
        <v>#REF!</v>
      </c>
      <c r="E74" s="176" t="e">
        <f t="shared" si="28"/>
        <v>#REF!</v>
      </c>
      <c r="F74" s="176" t="e">
        <f t="shared" si="28"/>
        <v>#REF!</v>
      </c>
      <c r="G74" s="176" t="e">
        <f t="shared" si="28"/>
        <v>#REF!</v>
      </c>
      <c r="H74" s="176" t="e">
        <f t="shared" si="28"/>
        <v>#REF!</v>
      </c>
      <c r="I74" s="176" t="e">
        <f t="shared" si="28"/>
        <v>#REF!</v>
      </c>
      <c r="J74" s="176" t="e">
        <f t="shared" si="28"/>
        <v>#REF!</v>
      </c>
      <c r="K74" s="176" t="e">
        <f t="shared" si="28"/>
        <v>#REF!</v>
      </c>
      <c r="L74" s="176" t="e">
        <f t="shared" si="28"/>
        <v>#REF!</v>
      </c>
      <c r="M74" s="176" t="e">
        <f t="shared" si="28"/>
        <v>#REF!</v>
      </c>
      <c r="N74" s="176" t="e">
        <f t="shared" si="28"/>
        <v>#REF!</v>
      </c>
      <c r="O74" s="176" t="e">
        <f t="shared" si="28"/>
        <v>#REF!</v>
      </c>
      <c r="P74" s="176"/>
      <c r="Q74" s="176"/>
      <c r="R74" s="176"/>
      <c r="S74" s="176"/>
      <c r="T74" s="176"/>
      <c r="U74" s="176"/>
      <c r="V74" s="176"/>
      <c r="W74" s="176"/>
      <c r="X74" s="176"/>
      <c r="Y74" s="176"/>
      <c r="Z74" s="176"/>
    </row>
    <row r="75" spans="1:26">
      <c r="A75" s="74" t="s">
        <v>64</v>
      </c>
      <c r="B75" s="73" t="e">
        <f>IF(B$62="","",B$69+B$73)</f>
        <v>#REF!</v>
      </c>
      <c r="C75" s="73" t="e">
        <f t="shared" ref="C75:O75" si="29">IF(C$62="","",C$69+C$73)</f>
        <v>#REF!</v>
      </c>
      <c r="D75" s="73" t="e">
        <f t="shared" si="29"/>
        <v>#REF!</v>
      </c>
      <c r="E75" s="73" t="e">
        <f t="shared" si="29"/>
        <v>#REF!</v>
      </c>
      <c r="F75" s="73" t="e">
        <f t="shared" si="29"/>
        <v>#REF!</v>
      </c>
      <c r="G75" s="73" t="e">
        <f t="shared" si="29"/>
        <v>#REF!</v>
      </c>
      <c r="H75" s="73" t="e">
        <f t="shared" si="29"/>
        <v>#REF!</v>
      </c>
      <c r="I75" s="73" t="e">
        <f t="shared" si="29"/>
        <v>#REF!</v>
      </c>
      <c r="J75" s="73" t="e">
        <f t="shared" si="29"/>
        <v>#REF!</v>
      </c>
      <c r="K75" s="73" t="e">
        <f t="shared" si="29"/>
        <v>#REF!</v>
      </c>
      <c r="L75" s="73" t="e">
        <f t="shared" si="29"/>
        <v>#REF!</v>
      </c>
      <c r="M75" s="73" t="e">
        <f t="shared" si="29"/>
        <v>#REF!</v>
      </c>
      <c r="N75" s="73" t="e">
        <f t="shared" si="29"/>
        <v>#REF!</v>
      </c>
      <c r="O75" s="73" t="e">
        <f t="shared" si="29"/>
        <v>#REF!</v>
      </c>
      <c r="P75" s="73"/>
      <c r="Q75" s="73"/>
      <c r="R75" s="73"/>
      <c r="S75" s="73"/>
      <c r="T75" s="73"/>
      <c r="U75" s="73"/>
      <c r="V75" s="73"/>
      <c r="W75" s="73"/>
      <c r="X75" s="73"/>
      <c r="Y75" s="73"/>
      <c r="Z75" s="73"/>
    </row>
    <row r="76" spans="1:26">
      <c r="A76" s="190" t="s">
        <v>84</v>
      </c>
      <c r="B76" s="192" t="e">
        <f>IF(B$62="","",B70+B74)</f>
        <v>#REF!</v>
      </c>
      <c r="C76" s="192" t="e">
        <f t="shared" ref="C76:O76" si="30">IF(C$62="","",C70+C74)</f>
        <v>#REF!</v>
      </c>
      <c r="D76" s="192" t="e">
        <f t="shared" si="30"/>
        <v>#REF!</v>
      </c>
      <c r="E76" s="192" t="e">
        <f t="shared" si="30"/>
        <v>#REF!</v>
      </c>
      <c r="F76" s="192" t="e">
        <f t="shared" si="30"/>
        <v>#REF!</v>
      </c>
      <c r="G76" s="192" t="e">
        <f t="shared" si="30"/>
        <v>#REF!</v>
      </c>
      <c r="H76" s="192" t="e">
        <f t="shared" si="30"/>
        <v>#REF!</v>
      </c>
      <c r="I76" s="192" t="e">
        <f t="shared" si="30"/>
        <v>#REF!</v>
      </c>
      <c r="J76" s="192" t="e">
        <f t="shared" si="30"/>
        <v>#REF!</v>
      </c>
      <c r="K76" s="192" t="e">
        <f t="shared" si="30"/>
        <v>#REF!</v>
      </c>
      <c r="L76" s="192" t="e">
        <f t="shared" si="30"/>
        <v>#REF!</v>
      </c>
      <c r="M76" s="192" t="e">
        <f t="shared" si="30"/>
        <v>#REF!</v>
      </c>
      <c r="N76" s="192" t="e">
        <f t="shared" si="30"/>
        <v>#REF!</v>
      </c>
      <c r="O76" s="192" t="e">
        <f t="shared" si="30"/>
        <v>#REF!</v>
      </c>
      <c r="P76" s="192"/>
      <c r="Q76" s="192"/>
      <c r="R76" s="192"/>
      <c r="S76" s="192"/>
      <c r="T76" s="192"/>
      <c r="U76" s="192"/>
      <c r="V76" s="192"/>
      <c r="W76" s="192"/>
      <c r="X76" s="192"/>
      <c r="Y76" s="192"/>
      <c r="Z76" s="192"/>
    </row>
    <row r="77" spans="1:26">
      <c r="A77" s="193" t="s">
        <v>85</v>
      </c>
      <c r="B77" s="194" t="e">
        <f t="shared" ref="B77:J77" ca="1" si="31">B60-B70-B72</f>
        <v>#REF!</v>
      </c>
      <c r="C77" s="194" t="e">
        <f t="shared" ca="1" si="31"/>
        <v>#REF!</v>
      </c>
      <c r="D77" s="194" t="e">
        <f t="shared" ca="1" si="31"/>
        <v>#REF!</v>
      </c>
      <c r="E77" s="194" t="e">
        <f t="shared" ca="1" si="31"/>
        <v>#REF!</v>
      </c>
      <c r="F77" s="194" t="e">
        <f t="shared" ca="1" si="31"/>
        <v>#REF!</v>
      </c>
      <c r="G77" s="194" t="e">
        <f t="shared" ca="1" si="31"/>
        <v>#REF!</v>
      </c>
      <c r="H77" s="194" t="e">
        <f t="shared" ca="1" si="31"/>
        <v>#REF!</v>
      </c>
      <c r="I77" s="194" t="e">
        <f t="shared" ca="1" si="31"/>
        <v>#REF!</v>
      </c>
      <c r="J77" s="194" t="e">
        <f t="shared" ca="1" si="31"/>
        <v>#REF!</v>
      </c>
      <c r="K77" s="184" t="e">
        <f ca="1">IRR(B77:J77)</f>
        <v>#VALUE!</v>
      </c>
      <c r="L77" s="194"/>
      <c r="M77" s="194"/>
      <c r="N77" s="194"/>
      <c r="O77" s="194"/>
      <c r="P77" s="194"/>
      <c r="Q77" s="194"/>
      <c r="R77" s="194"/>
      <c r="S77" s="184"/>
      <c r="T77" s="5"/>
      <c r="U77" s="5"/>
    </row>
    <row r="78" spans="1:26" ht="15" thickBot="1">
      <c r="A78" s="193" t="s">
        <v>86</v>
      </c>
      <c r="B78" s="194" t="e">
        <f t="shared" ref="B78:J78" ca="1" si="32">B60-B70</f>
        <v>#REF!</v>
      </c>
      <c r="C78" s="194" t="e">
        <f t="shared" ca="1" si="32"/>
        <v>#REF!</v>
      </c>
      <c r="D78" s="194" t="e">
        <f t="shared" ca="1" si="32"/>
        <v>#REF!</v>
      </c>
      <c r="E78" s="194" t="e">
        <f t="shared" ca="1" si="32"/>
        <v>#REF!</v>
      </c>
      <c r="F78" s="194" t="e">
        <f t="shared" ca="1" si="32"/>
        <v>#REF!</v>
      </c>
      <c r="G78" s="194" t="e">
        <f t="shared" ca="1" si="32"/>
        <v>#REF!</v>
      </c>
      <c r="H78" s="194" t="e">
        <f t="shared" ca="1" si="32"/>
        <v>#REF!</v>
      </c>
      <c r="I78" s="194" t="e">
        <f t="shared" ca="1" si="32"/>
        <v>#REF!</v>
      </c>
      <c r="J78" s="194" t="e">
        <f t="shared" ca="1" si="32"/>
        <v>#REF!</v>
      </c>
      <c r="K78" s="184" t="e">
        <f ca="1">IRR(B78:J78)</f>
        <v>#VALUE!</v>
      </c>
      <c r="L78" s="194"/>
      <c r="M78" s="194"/>
      <c r="N78" s="194"/>
      <c r="O78" s="194"/>
      <c r="P78" s="194"/>
      <c r="Q78" s="194"/>
      <c r="R78" s="194"/>
      <c r="S78" s="184"/>
      <c r="T78" s="5"/>
      <c r="U78" s="5"/>
    </row>
    <row r="79" spans="1:26" ht="18">
      <c r="A79" s="36"/>
      <c r="B79" s="37" t="s">
        <v>36</v>
      </c>
      <c r="C79" s="37" t="s">
        <v>38</v>
      </c>
      <c r="D79" s="37" t="s">
        <v>37</v>
      </c>
      <c r="E79" s="38" t="s">
        <v>91</v>
      </c>
      <c r="F79" s="21"/>
      <c r="G79" s="23"/>
      <c r="H79" s="23"/>
      <c r="I79" s="23"/>
      <c r="J79" s="23"/>
      <c r="K79" s="23"/>
      <c r="L79" s="195"/>
      <c r="M79" s="23"/>
      <c r="N79" s="17"/>
      <c r="O79" s="98"/>
      <c r="P79" s="23"/>
      <c r="Q79" s="23"/>
      <c r="R79" s="23"/>
      <c r="S79" s="23"/>
      <c r="T79" s="23"/>
      <c r="U79" s="23"/>
    </row>
    <row r="80" spans="1:26" ht="15.75" thickBot="1">
      <c r="A80" s="196" t="s">
        <v>66</v>
      </c>
      <c r="B80" s="197" t="e">
        <f>$B$25</f>
        <v>#REF!</v>
      </c>
      <c r="C80" s="197" t="e">
        <f>$B$24</f>
        <v>#REF!</v>
      </c>
      <c r="D80" s="197" t="e">
        <f>$B$26</f>
        <v>#REF!</v>
      </c>
      <c r="E80" s="198" t="e">
        <f>(B80*0.25+C80*0.5+0.25*D80)</f>
        <v>#REF!</v>
      </c>
      <c r="F80" s="199"/>
      <c r="G80" s="23"/>
      <c r="H80" s="200"/>
      <c r="I80" s="17"/>
      <c r="J80" s="23"/>
      <c r="K80" s="201" t="s">
        <v>65</v>
      </c>
      <c r="L80" s="202"/>
      <c r="M80" s="23"/>
      <c r="N80" s="23"/>
      <c r="O80" s="23"/>
      <c r="P80" s="23"/>
      <c r="Q80" s="23"/>
      <c r="R80" s="23"/>
      <c r="S80" s="23"/>
      <c r="T80" s="23"/>
      <c r="U80" s="23"/>
    </row>
    <row r="81" spans="1:21">
      <c r="B81" s="203"/>
      <c r="C81" s="203"/>
      <c r="D81" s="203"/>
      <c r="E81" s="161"/>
      <c r="F81" s="161"/>
      <c r="G81" s="23"/>
      <c r="H81" s="23"/>
      <c r="I81" s="23"/>
      <c r="J81" s="23"/>
      <c r="K81" s="201" t="s">
        <v>65</v>
      </c>
      <c r="L81" s="202"/>
      <c r="M81" s="23"/>
      <c r="N81" s="24"/>
      <c r="O81" s="24"/>
      <c r="P81" s="24"/>
      <c r="Q81" s="24"/>
      <c r="R81" s="24"/>
      <c r="S81" s="24"/>
      <c r="T81" s="24"/>
      <c r="U81" s="24"/>
    </row>
    <row r="82" spans="1:21">
      <c r="A82" s="204"/>
      <c r="B82" s="205" t="s">
        <v>36</v>
      </c>
      <c r="C82" s="205" t="s">
        <v>38</v>
      </c>
      <c r="D82" s="206" t="s">
        <v>37</v>
      </c>
      <c r="E82" s="204" t="s">
        <v>91</v>
      </c>
      <c r="F82" s="226" t="s">
        <v>92</v>
      </c>
      <c r="G82" s="23"/>
      <c r="H82" s="23"/>
      <c r="I82" s="23"/>
      <c r="J82" s="23"/>
      <c r="M82" s="23"/>
    </row>
    <row r="83" spans="1:21" ht="15">
      <c r="A83" s="207" t="s">
        <v>95</v>
      </c>
      <c r="B83" s="208">
        <v>0</v>
      </c>
      <c r="C83" s="208">
        <v>0</v>
      </c>
      <c r="D83" s="210">
        <v>4.5229383742614843E-2</v>
      </c>
      <c r="E83" s="211">
        <f>(B83*0.25+C83*0.5+D83*0.25)</f>
        <v>1.1307345935653711E-2</v>
      </c>
      <c r="F83" s="212">
        <f>(B83*0.25+C83*0.5+0.25*D83)*$B$21</f>
        <v>7.9151421549575968E-2</v>
      </c>
      <c r="M83" s="23"/>
    </row>
    <row r="84" spans="1:21" ht="15">
      <c r="A84" s="207" t="s">
        <v>90</v>
      </c>
      <c r="B84" s="208">
        <v>0</v>
      </c>
      <c r="C84" s="208">
        <v>0</v>
      </c>
      <c r="D84" s="210">
        <v>4.4175264457713838E-2</v>
      </c>
      <c r="E84" s="211">
        <f t="shared" ref="E84:E89" si="33">(B84*0.25+C84*0.5+D84*0.25)</f>
        <v>1.1043816114428459E-2</v>
      </c>
      <c r="F84" s="212">
        <f t="shared" ref="F84:F112" si="34">(B84*0.25+C84*0.5+0.25*D84)*$B$21</f>
        <v>7.7306712800999211E-2</v>
      </c>
      <c r="K84" s="24"/>
      <c r="L84" s="24"/>
      <c r="M84" s="24"/>
      <c r="N84" s="24"/>
      <c r="O84" s="24"/>
      <c r="P84" s="24"/>
      <c r="Q84" s="24"/>
      <c r="R84" s="24"/>
      <c r="S84" s="24"/>
      <c r="T84" s="24"/>
    </row>
    <row r="85" spans="1:21" ht="15">
      <c r="A85" s="207" t="s">
        <v>93</v>
      </c>
      <c r="B85" s="208">
        <v>0</v>
      </c>
      <c r="C85" s="208">
        <v>0</v>
      </c>
      <c r="D85" s="161">
        <v>4.3150782257448728E-2</v>
      </c>
      <c r="E85" s="211">
        <f t="shared" si="33"/>
        <v>1.0787695564362182E-2</v>
      </c>
      <c r="F85" s="212">
        <f t="shared" si="34"/>
        <v>7.5513868950535273E-2</v>
      </c>
      <c r="K85" s="24"/>
      <c r="L85" s="24"/>
      <c r="M85" s="24"/>
      <c r="N85" s="24"/>
      <c r="O85" s="24"/>
      <c r="P85" s="24"/>
      <c r="Q85" s="24"/>
      <c r="R85" s="24"/>
      <c r="S85" s="24"/>
      <c r="T85" s="24"/>
    </row>
    <row r="86" spans="1:21" ht="15">
      <c r="A86" s="207" t="s">
        <v>87</v>
      </c>
      <c r="B86" s="208">
        <v>0</v>
      </c>
      <c r="C86" s="208">
        <v>0</v>
      </c>
      <c r="D86" s="209">
        <v>4.2154841068197314E-2</v>
      </c>
      <c r="E86" s="211">
        <f t="shared" si="33"/>
        <v>1.0538710267049329E-2</v>
      </c>
      <c r="F86" s="212">
        <f t="shared" si="34"/>
        <v>7.3770971869345295E-2</v>
      </c>
      <c r="K86" s="24"/>
      <c r="L86" s="24"/>
      <c r="M86" s="24"/>
      <c r="N86" s="24"/>
      <c r="O86" s="24"/>
      <c r="P86" s="24"/>
      <c r="Q86" s="24"/>
      <c r="R86" s="24"/>
      <c r="S86" s="24"/>
      <c r="T86" s="24"/>
    </row>
    <row r="87" spans="1:21" ht="15">
      <c r="A87" s="207" t="s">
        <v>96</v>
      </c>
      <c r="B87" s="208">
        <v>0</v>
      </c>
      <c r="C87" s="208">
        <v>0</v>
      </c>
      <c r="D87" s="209">
        <v>4.1186394557193036E-2</v>
      </c>
      <c r="E87" s="211">
        <f t="shared" si="33"/>
        <v>1.0296598639298259E-2</v>
      </c>
      <c r="F87" s="212">
        <f t="shared" si="34"/>
        <v>7.2076190475087815E-2</v>
      </c>
      <c r="K87" s="24"/>
      <c r="L87" s="24"/>
      <c r="M87" s="24"/>
      <c r="N87" s="24"/>
      <c r="O87" s="24"/>
      <c r="P87" s="24"/>
      <c r="Q87" s="24"/>
      <c r="R87" s="24"/>
      <c r="S87" s="24"/>
      <c r="T87" s="24"/>
    </row>
    <row r="88" spans="1:21" ht="15">
      <c r="A88" s="207" t="s">
        <v>97</v>
      </c>
      <c r="B88" s="208">
        <v>0</v>
      </c>
      <c r="C88" s="208">
        <v>0</v>
      </c>
      <c r="D88" s="209">
        <v>4.0244443480590072E-2</v>
      </c>
      <c r="E88" s="211">
        <f t="shared" si="33"/>
        <v>1.0061110870147518E-2</v>
      </c>
      <c r="F88" s="212">
        <f t="shared" si="34"/>
        <v>7.0427776091032623E-2</v>
      </c>
      <c r="H88" s="213"/>
      <c r="K88" s="24"/>
      <c r="L88" s="24"/>
      <c r="M88" s="24"/>
      <c r="N88" s="24"/>
      <c r="O88" s="24"/>
      <c r="P88" s="24"/>
      <c r="Q88" s="24"/>
      <c r="R88" s="24"/>
      <c r="S88" s="24"/>
      <c r="T88" s="24"/>
    </row>
    <row r="89" spans="1:21" ht="15">
      <c r="A89" s="214" t="s">
        <v>94</v>
      </c>
      <c r="B89" s="215">
        <v>0</v>
      </c>
      <c r="C89" s="215">
        <v>0</v>
      </c>
      <c r="D89" s="216">
        <v>3.9328033192840763E-2</v>
      </c>
      <c r="E89" s="211">
        <f t="shared" si="33"/>
        <v>9.8320082982101906E-3</v>
      </c>
      <c r="F89" s="217">
        <f t="shared" si="34"/>
        <v>6.8824058087471329E-2</v>
      </c>
      <c r="H89" s="213"/>
      <c r="I89" s="2"/>
      <c r="K89" s="24"/>
      <c r="L89" s="24"/>
      <c r="M89" s="24"/>
      <c r="N89" s="24"/>
      <c r="O89" s="24"/>
      <c r="P89" s="24"/>
      <c r="Q89" s="24"/>
      <c r="R89" s="24"/>
      <c r="S89" s="24"/>
      <c r="T89" s="24"/>
    </row>
    <row r="90" spans="1:21" ht="15">
      <c r="A90" s="28"/>
      <c r="B90" s="209"/>
      <c r="C90" s="209"/>
      <c r="D90" s="209"/>
      <c r="E90" s="244"/>
      <c r="F90" s="243"/>
      <c r="H90" s="213"/>
      <c r="K90" s="24"/>
      <c r="L90" s="24"/>
      <c r="M90" s="24"/>
      <c r="N90" s="24"/>
      <c r="O90" s="24"/>
      <c r="P90" s="24"/>
      <c r="Q90" s="24"/>
      <c r="R90" s="24"/>
      <c r="S90" s="24"/>
      <c r="T90" s="24"/>
    </row>
    <row r="91" spans="1:21" ht="15">
      <c r="A91" s="28"/>
      <c r="B91" s="209"/>
      <c r="C91" s="209"/>
      <c r="D91" s="209"/>
      <c r="E91" s="244"/>
      <c r="F91" s="243"/>
      <c r="H91" s="213"/>
      <c r="K91" s="24"/>
      <c r="L91" s="24"/>
      <c r="M91" s="24"/>
      <c r="N91" s="24"/>
      <c r="O91" s="24"/>
      <c r="P91" s="24"/>
      <c r="Q91" s="24"/>
      <c r="R91" s="24"/>
      <c r="S91" s="24"/>
      <c r="T91" s="24"/>
    </row>
    <row r="92" spans="1:21">
      <c r="A92" s="204" t="s">
        <v>101</v>
      </c>
      <c r="B92" s="205" t="s">
        <v>36</v>
      </c>
      <c r="C92" s="205" t="s">
        <v>38</v>
      </c>
      <c r="D92" s="206" t="s">
        <v>37</v>
      </c>
      <c r="E92" s="204" t="s">
        <v>91</v>
      </c>
      <c r="F92" s="226" t="s">
        <v>92</v>
      </c>
      <c r="H92" s="213"/>
      <c r="K92" s="24"/>
      <c r="L92" s="24"/>
      <c r="M92" s="24"/>
      <c r="N92" s="24"/>
      <c r="O92" s="24"/>
      <c r="P92" s="24"/>
      <c r="Q92" s="24"/>
      <c r="R92" s="24"/>
      <c r="S92" s="24"/>
      <c r="T92" s="24"/>
    </row>
    <row r="93" spans="1:21" ht="15">
      <c r="A93" s="207" t="s">
        <v>95</v>
      </c>
      <c r="B93" s="208">
        <v>0</v>
      </c>
      <c r="C93" s="208">
        <v>0</v>
      </c>
      <c r="D93" s="210">
        <v>4.7627118013785247E-2</v>
      </c>
      <c r="E93" s="211">
        <f>(B93*0.25+C93*0.5+D93*0.25)</f>
        <v>1.1906779503446312E-2</v>
      </c>
      <c r="F93" s="212">
        <f>(B93*0.25+C93*0.5+0.25*D93)*$B$21</f>
        <v>8.3347456524124175E-2</v>
      </c>
      <c r="H93" s="213"/>
      <c r="K93" s="24"/>
      <c r="L93" s="24"/>
      <c r="M93" s="24"/>
      <c r="N93" s="24"/>
      <c r="O93" s="24"/>
      <c r="P93" s="24"/>
      <c r="Q93" s="24"/>
      <c r="R93" s="24"/>
      <c r="S93" s="24"/>
      <c r="T93" s="24"/>
    </row>
    <row r="94" spans="1:21" ht="15">
      <c r="A94" s="207" t="s">
        <v>90</v>
      </c>
      <c r="B94" s="208">
        <v>0</v>
      </c>
      <c r="C94" s="208">
        <v>0</v>
      </c>
      <c r="D94" s="210">
        <v>4.653892335993514E-2</v>
      </c>
      <c r="E94" s="211">
        <f t="shared" ref="E94:E99" si="35">(B94*0.25+C94*0.5+D94*0.25)</f>
        <v>1.1634730839983785E-2</v>
      </c>
      <c r="F94" s="212">
        <f t="shared" ref="F94:F99" si="36">(B94*0.25+C94*0.5+0.25*D94)*$B$21</f>
        <v>8.1443115879886493E-2</v>
      </c>
      <c r="H94" s="213"/>
      <c r="K94" s="24"/>
      <c r="L94" s="24"/>
      <c r="M94" s="24"/>
      <c r="N94" s="24"/>
      <c r="O94" s="24"/>
      <c r="P94" s="24"/>
      <c r="Q94" s="24"/>
      <c r="R94" s="24"/>
      <c r="S94" s="24"/>
      <c r="T94" s="24"/>
    </row>
    <row r="95" spans="1:21" ht="15">
      <c r="A95" s="207" t="s">
        <v>93</v>
      </c>
      <c r="B95" s="208">
        <v>0</v>
      </c>
      <c r="C95" s="208">
        <v>0</v>
      </c>
      <c r="D95" s="161">
        <v>4.5481106466548356E-2</v>
      </c>
      <c r="E95" s="211">
        <f t="shared" si="35"/>
        <v>1.1370276616637089E-2</v>
      </c>
      <c r="F95" s="212">
        <f t="shared" si="36"/>
        <v>7.9591936316459624E-2</v>
      </c>
      <c r="H95" s="213"/>
      <c r="I95" s="23"/>
      <c r="K95" s="24"/>
      <c r="L95" s="24"/>
      <c r="M95" s="24"/>
      <c r="N95" s="24"/>
      <c r="O95" s="24"/>
      <c r="P95" s="24"/>
      <c r="Q95" s="24"/>
      <c r="R95" s="24"/>
      <c r="S95" s="24"/>
      <c r="T95" s="24"/>
    </row>
    <row r="96" spans="1:21" ht="15">
      <c r="A96" s="207" t="s">
        <v>87</v>
      </c>
      <c r="B96" s="208">
        <v>0</v>
      </c>
      <c r="C96" s="208">
        <v>0</v>
      </c>
      <c r="D96" s="209">
        <v>4.4452549976550217E-2</v>
      </c>
      <c r="E96" s="211">
        <f t="shared" si="35"/>
        <v>1.1113137494137554E-2</v>
      </c>
      <c r="F96" s="212">
        <f t="shared" si="36"/>
        <v>7.7791962458962874E-2</v>
      </c>
      <c r="H96" s="213"/>
      <c r="I96" s="23"/>
      <c r="K96" s="24"/>
      <c r="L96" s="24"/>
      <c r="M96" s="24"/>
      <c r="N96" s="24"/>
      <c r="O96" s="24"/>
      <c r="P96" s="24"/>
      <c r="Q96" s="24"/>
      <c r="R96" s="24"/>
      <c r="S96" s="24"/>
      <c r="T96" s="24"/>
    </row>
    <row r="97" spans="1:20" ht="15">
      <c r="A97" s="207" t="s">
        <v>96</v>
      </c>
      <c r="B97" s="208">
        <v>0</v>
      </c>
      <c r="C97" s="208">
        <v>0</v>
      </c>
      <c r="D97" s="209">
        <v>4.345218701598013E-2</v>
      </c>
      <c r="E97" s="211">
        <f t="shared" si="35"/>
        <v>1.0863046753995033E-2</v>
      </c>
      <c r="F97" s="212">
        <f t="shared" si="36"/>
        <v>7.6041327277965226E-2</v>
      </c>
      <c r="H97" s="213"/>
      <c r="K97" s="24"/>
      <c r="L97" s="24"/>
      <c r="M97" s="24"/>
      <c r="N97" s="24"/>
      <c r="O97" s="24"/>
      <c r="P97" s="24"/>
      <c r="Q97" s="24"/>
      <c r="R97" s="24"/>
      <c r="S97" s="24"/>
      <c r="T97" s="24"/>
    </row>
    <row r="98" spans="1:20" ht="15">
      <c r="A98" s="207" t="s">
        <v>97</v>
      </c>
      <c r="B98" s="208">
        <v>0</v>
      </c>
      <c r="C98" s="208">
        <v>0</v>
      </c>
      <c r="D98" s="209">
        <v>4.2478998512368853E-2</v>
      </c>
      <c r="E98" s="211">
        <f t="shared" si="35"/>
        <v>1.0619749628092213E-2</v>
      </c>
      <c r="F98" s="212">
        <f t="shared" si="36"/>
        <v>7.433824739664549E-2</v>
      </c>
      <c r="H98" s="213"/>
      <c r="K98" s="24"/>
      <c r="L98" s="24"/>
      <c r="M98" s="24"/>
      <c r="N98" s="24"/>
      <c r="O98" s="24"/>
      <c r="P98" s="24"/>
      <c r="Q98" s="24"/>
      <c r="R98" s="24"/>
      <c r="S98" s="24"/>
      <c r="T98" s="24"/>
    </row>
    <row r="99" spans="1:20" ht="15">
      <c r="A99" s="214" t="s">
        <v>94</v>
      </c>
      <c r="B99" s="215">
        <v>0</v>
      </c>
      <c r="C99" s="215">
        <v>0</v>
      </c>
      <c r="D99" s="216">
        <v>4.1532010675718697E-2</v>
      </c>
      <c r="E99" s="211">
        <f t="shared" si="35"/>
        <v>1.0383002668929674E-2</v>
      </c>
      <c r="F99" s="217">
        <f t="shared" si="36"/>
        <v>7.2681018682507717E-2</v>
      </c>
      <c r="H99" s="213"/>
      <c r="K99" s="24"/>
      <c r="L99" s="24"/>
      <c r="M99" s="24"/>
      <c r="N99" s="24"/>
      <c r="O99" s="24"/>
      <c r="P99" s="24"/>
      <c r="Q99" s="24"/>
      <c r="R99" s="24"/>
      <c r="S99" s="24"/>
      <c r="T99" s="24"/>
    </row>
    <row r="100" spans="1:20" ht="15">
      <c r="A100" s="28"/>
      <c r="B100" s="209"/>
      <c r="C100" s="209"/>
      <c r="D100" s="209"/>
      <c r="E100" s="244"/>
      <c r="F100" s="243"/>
      <c r="H100" s="213"/>
      <c r="K100" s="24"/>
      <c r="L100" s="24"/>
      <c r="M100" s="24"/>
      <c r="N100" s="24"/>
      <c r="O100" s="24"/>
      <c r="P100" s="24"/>
      <c r="Q100" s="24"/>
      <c r="R100" s="24"/>
      <c r="S100" s="24"/>
      <c r="T100" s="24"/>
    </row>
    <row r="101" spans="1:20">
      <c r="A101" s="204" t="s">
        <v>100</v>
      </c>
      <c r="B101" s="205" t="s">
        <v>36</v>
      </c>
      <c r="C101" s="205" t="s">
        <v>38</v>
      </c>
      <c r="D101" s="206" t="s">
        <v>37</v>
      </c>
      <c r="E101" s="204" t="s">
        <v>91</v>
      </c>
      <c r="F101" s="226" t="s">
        <v>92</v>
      </c>
      <c r="H101" s="213"/>
      <c r="I101" s="2"/>
      <c r="K101" s="24"/>
      <c r="L101" s="24"/>
      <c r="M101" s="24"/>
      <c r="N101" s="24"/>
      <c r="O101" s="24"/>
      <c r="P101" s="24"/>
      <c r="Q101" s="24"/>
      <c r="R101" s="24"/>
      <c r="S101" s="24"/>
      <c r="T101" s="24"/>
    </row>
    <row r="102" spans="1:20" ht="15">
      <c r="A102" s="207" t="s">
        <v>95</v>
      </c>
      <c r="B102" s="208">
        <v>0</v>
      </c>
      <c r="C102" s="208">
        <v>0</v>
      </c>
      <c r="D102" s="210">
        <v>2.6737198573793391E-2</v>
      </c>
      <c r="E102" s="211">
        <f>(B102*0.25+C102*0.5+D102*0.25)</f>
        <v>6.6842996434483479E-3</v>
      </c>
      <c r="F102" s="212">
        <f>(B102*0.25+C102*0.5+0.25*D102)*$B$21</f>
        <v>4.6790097504138435E-2</v>
      </c>
      <c r="H102" s="213"/>
      <c r="K102" s="24"/>
      <c r="L102" s="24"/>
      <c r="M102" s="24"/>
      <c r="N102" s="24"/>
      <c r="O102" s="24"/>
      <c r="P102" s="24"/>
      <c r="Q102" s="24"/>
      <c r="R102" s="24"/>
      <c r="S102" s="24"/>
      <c r="T102" s="24"/>
    </row>
    <row r="103" spans="1:20" ht="15">
      <c r="A103" s="207" t="s">
        <v>90</v>
      </c>
      <c r="B103" s="208">
        <v>0</v>
      </c>
      <c r="C103" s="208">
        <v>0</v>
      </c>
      <c r="D103" s="210">
        <v>2.6010880003188682E-2</v>
      </c>
      <c r="E103" s="211">
        <f t="shared" ref="E103:E108" si="37">(B103*0.25+C103*0.5+D103*0.25)</f>
        <v>6.5027200007971705E-3</v>
      </c>
      <c r="F103" s="212">
        <f t="shared" ref="F103:F108" si="38">(B103*0.25+C103*0.5+0.25*D103)*$B$21</f>
        <v>4.5519040005580193E-2</v>
      </c>
      <c r="H103" s="213"/>
      <c r="K103" s="24"/>
      <c r="L103" s="24"/>
      <c r="M103" s="24"/>
      <c r="N103" s="24"/>
      <c r="O103" s="24"/>
      <c r="P103" s="24"/>
      <c r="Q103" s="24"/>
      <c r="R103" s="24"/>
      <c r="S103" s="24"/>
      <c r="T103" s="24"/>
    </row>
    <row r="104" spans="1:20" ht="15">
      <c r="A104" s="207" t="s">
        <v>93</v>
      </c>
      <c r="B104" s="208">
        <v>0</v>
      </c>
      <c r="C104" s="208">
        <v>0</v>
      </c>
      <c r="D104" s="161">
        <v>2.5299254412377341E-2</v>
      </c>
      <c r="E104" s="211">
        <f t="shared" si="37"/>
        <v>6.3248136030943352E-3</v>
      </c>
      <c r="F104" s="212">
        <f t="shared" si="38"/>
        <v>4.4273695221660345E-2</v>
      </c>
      <c r="H104" s="213"/>
      <c r="K104" s="24"/>
      <c r="L104" s="24"/>
      <c r="M104" s="24"/>
      <c r="N104" s="24"/>
      <c r="O104" s="24"/>
      <c r="P104" s="24"/>
      <c r="Q104" s="24"/>
      <c r="R104" s="24"/>
      <c r="S104" s="24"/>
      <c r="T104" s="24"/>
    </row>
    <row r="105" spans="1:20" ht="15">
      <c r="A105" s="207" t="s">
        <v>87</v>
      </c>
      <c r="B105" s="208">
        <v>0</v>
      </c>
      <c r="C105" s="208">
        <v>0</v>
      </c>
      <c r="D105" s="209">
        <v>2.4601935223010327E-2</v>
      </c>
      <c r="E105" s="211">
        <f t="shared" si="37"/>
        <v>6.1504838057525818E-3</v>
      </c>
      <c r="F105" s="212">
        <f t="shared" si="38"/>
        <v>4.3053386640268074E-2</v>
      </c>
      <c r="H105" s="213"/>
      <c r="K105" s="24"/>
      <c r="L105" s="24"/>
      <c r="M105" s="24"/>
      <c r="N105" s="24"/>
      <c r="O105" s="24"/>
      <c r="P105" s="24"/>
      <c r="Q105" s="24"/>
      <c r="R105" s="24"/>
      <c r="S105" s="24"/>
      <c r="T105" s="24"/>
    </row>
    <row r="106" spans="1:20" ht="15">
      <c r="A106" s="207" t="s">
        <v>96</v>
      </c>
      <c r="B106" s="208">
        <v>0</v>
      </c>
      <c r="C106" s="208">
        <v>0</v>
      </c>
      <c r="D106" s="209">
        <v>2.3918548478545531E-2</v>
      </c>
      <c r="E106" s="211">
        <f t="shared" si="37"/>
        <v>5.9796371196363827E-3</v>
      </c>
      <c r="F106" s="212">
        <f t="shared" si="38"/>
        <v>4.1857459837454682E-2</v>
      </c>
      <c r="H106" s="213"/>
      <c r="K106" s="24"/>
      <c r="L106" s="24"/>
      <c r="M106" s="24"/>
      <c r="N106" s="24"/>
      <c r="O106" s="24"/>
      <c r="P106" s="24"/>
      <c r="Q106" s="24"/>
      <c r="R106" s="24"/>
      <c r="S106" s="24"/>
      <c r="T106" s="24"/>
    </row>
    <row r="107" spans="1:20" ht="15">
      <c r="A107" s="207" t="s">
        <v>97</v>
      </c>
      <c r="B107" s="208">
        <v>0</v>
      </c>
      <c r="C107" s="208">
        <v>0</v>
      </c>
      <c r="D107" s="209">
        <v>2.3248732315737038E-2</v>
      </c>
      <c r="E107" s="211">
        <f t="shared" si="37"/>
        <v>5.8121830789342596E-3</v>
      </c>
      <c r="F107" s="212">
        <f t="shared" si="38"/>
        <v>4.0685281552539816E-2</v>
      </c>
      <c r="H107" s="213"/>
      <c r="K107" s="24"/>
      <c r="L107" s="24"/>
      <c r="M107" s="24"/>
      <c r="N107" s="24"/>
      <c r="O107" s="24"/>
      <c r="P107" s="24"/>
      <c r="Q107" s="24"/>
      <c r="R107" s="24"/>
      <c r="S107" s="24"/>
      <c r="T107" s="24"/>
    </row>
    <row r="108" spans="1:20" ht="15">
      <c r="A108" s="214" t="s">
        <v>94</v>
      </c>
      <c r="B108" s="215">
        <v>0</v>
      </c>
      <c r="C108" s="215">
        <v>0</v>
      </c>
      <c r="D108" s="216">
        <v>2.2592136530403668E-2</v>
      </c>
      <c r="E108" s="211">
        <f t="shared" si="37"/>
        <v>5.6480341326009169E-3</v>
      </c>
      <c r="F108" s="217">
        <f t="shared" si="38"/>
        <v>3.9536238928206416E-2</v>
      </c>
      <c r="H108" s="213"/>
      <c r="K108" s="24"/>
      <c r="L108" s="24"/>
      <c r="M108" s="24"/>
      <c r="N108" s="24"/>
      <c r="O108" s="24"/>
      <c r="P108" s="24"/>
      <c r="Q108" s="24"/>
      <c r="R108" s="24"/>
      <c r="S108" s="24"/>
      <c r="T108" s="24"/>
    </row>
    <row r="109" spans="1:20" ht="15">
      <c r="A109" s="28"/>
      <c r="B109" s="209"/>
      <c r="C109" s="209"/>
      <c r="D109" s="209"/>
      <c r="E109" s="244"/>
      <c r="F109" s="243"/>
      <c r="H109" s="213"/>
      <c r="K109" s="24"/>
      <c r="L109" s="24"/>
      <c r="M109" s="24"/>
      <c r="N109" s="24"/>
      <c r="O109" s="24"/>
      <c r="P109" s="24"/>
      <c r="Q109" s="24"/>
      <c r="R109" s="24"/>
      <c r="S109" s="24"/>
      <c r="T109" s="24"/>
    </row>
    <row r="110" spans="1:20" ht="15">
      <c r="A110" s="28"/>
      <c r="B110" s="209"/>
      <c r="C110" s="209"/>
      <c r="D110" s="209"/>
      <c r="E110" s="244"/>
      <c r="F110" s="243"/>
      <c r="H110" s="213"/>
      <c r="K110" s="24"/>
      <c r="L110" s="24"/>
      <c r="M110" s="24"/>
      <c r="N110" s="24"/>
      <c r="O110" s="24"/>
      <c r="P110" s="24"/>
      <c r="Q110" s="24"/>
      <c r="R110" s="24"/>
      <c r="S110" s="24"/>
      <c r="T110" s="24"/>
    </row>
    <row r="111" spans="1:20" ht="15">
      <c r="A111" s="28"/>
      <c r="B111" s="209"/>
      <c r="C111" s="209"/>
      <c r="D111" s="209"/>
      <c r="E111" s="244"/>
      <c r="F111" s="243"/>
      <c r="H111" s="213"/>
      <c r="K111" s="24"/>
      <c r="L111" s="24"/>
      <c r="M111" s="24"/>
      <c r="N111" s="24"/>
      <c r="O111" s="24"/>
      <c r="P111" s="24"/>
      <c r="Q111" s="24"/>
      <c r="R111" s="24"/>
      <c r="S111" s="24"/>
      <c r="T111" s="24"/>
    </row>
    <row r="112" spans="1:20">
      <c r="A112" s="9" t="s">
        <v>35</v>
      </c>
      <c r="B112" s="218">
        <v>0</v>
      </c>
      <c r="C112" s="218">
        <v>0</v>
      </c>
      <c r="D112" s="218"/>
      <c r="E112" s="219"/>
      <c r="F112" s="219">
        <f t="shared" si="34"/>
        <v>0</v>
      </c>
      <c r="G112" s="23"/>
      <c r="K112" s="24"/>
      <c r="L112" s="24"/>
      <c r="M112" s="24"/>
      <c r="N112" s="24"/>
      <c r="O112" s="24"/>
      <c r="P112" s="24"/>
      <c r="Q112" s="24"/>
      <c r="R112" s="24"/>
      <c r="S112" s="24"/>
      <c r="T112" s="24"/>
    </row>
    <row r="113" spans="1:26">
      <c r="A113" t="s">
        <v>88</v>
      </c>
      <c r="C113" s="209"/>
      <c r="K113" s="24"/>
      <c r="L113" s="24"/>
      <c r="M113" s="24"/>
      <c r="N113" s="24"/>
      <c r="O113" s="24"/>
      <c r="P113" s="24"/>
      <c r="Q113" s="24"/>
      <c r="R113" s="24"/>
      <c r="S113" s="24"/>
      <c r="T113" s="24"/>
    </row>
    <row r="114" spans="1:26">
      <c r="A114" t="s">
        <v>1</v>
      </c>
      <c r="B114">
        <v>1</v>
      </c>
      <c r="C114">
        <f>B114+1</f>
        <v>2</v>
      </c>
      <c r="D114">
        <f t="shared" ref="D114:M114" si="39">C114+1</f>
        <v>3</v>
      </c>
      <c r="E114">
        <f t="shared" si="39"/>
        <v>4</v>
      </c>
      <c r="F114">
        <f t="shared" si="39"/>
        <v>5</v>
      </c>
      <c r="G114">
        <f>F114+1</f>
        <v>6</v>
      </c>
      <c r="H114">
        <f t="shared" si="39"/>
        <v>7</v>
      </c>
      <c r="I114">
        <f t="shared" si="39"/>
        <v>8</v>
      </c>
      <c r="J114">
        <f t="shared" si="39"/>
        <v>9</v>
      </c>
      <c r="K114">
        <f t="shared" si="39"/>
        <v>10</v>
      </c>
      <c r="L114">
        <f t="shared" si="39"/>
        <v>11</v>
      </c>
      <c r="M114">
        <f t="shared" si="39"/>
        <v>12</v>
      </c>
    </row>
    <row r="115" spans="1:26">
      <c r="B115" s="115">
        <v>0.01</v>
      </c>
      <c r="C115" s="115">
        <v>0.03</v>
      </c>
      <c r="D115" s="115">
        <v>0.05</v>
      </c>
      <c r="E115" s="115">
        <v>0.1</v>
      </c>
      <c r="F115" s="115">
        <v>0.15</v>
      </c>
      <c r="G115" s="115">
        <v>0.16</v>
      </c>
      <c r="H115" s="115">
        <v>0.18</v>
      </c>
      <c r="I115" s="115">
        <v>0.14000000000000001</v>
      </c>
      <c r="J115" s="115">
        <v>0.1</v>
      </c>
      <c r="K115" s="115">
        <v>0.08</v>
      </c>
      <c r="L115" s="115">
        <v>0.06</v>
      </c>
      <c r="M115" s="115">
        <v>0.04</v>
      </c>
    </row>
    <row r="116" spans="1:26">
      <c r="B116" s="220">
        <f>(1*$L$81)/100</f>
        <v>0</v>
      </c>
      <c r="C116" s="220">
        <f>(3*$L$81)/100</f>
        <v>0</v>
      </c>
      <c r="D116" s="220">
        <f>(5*$L$81)/100</f>
        <v>0</v>
      </c>
      <c r="E116" s="220">
        <f>(10*$L$81)/100</f>
        <v>0</v>
      </c>
      <c r="F116" s="220">
        <f>(15*$L$81)/100</f>
        <v>0</v>
      </c>
      <c r="G116" s="220">
        <f>(16*$L$81)/100</f>
        <v>0</v>
      </c>
      <c r="H116" s="220">
        <f>(18*$L$81)/100</f>
        <v>0</v>
      </c>
      <c r="I116" s="220">
        <f>(14*$L$81)/100</f>
        <v>0</v>
      </c>
      <c r="J116" s="220">
        <f>(10*$L$81)/100</f>
        <v>0</v>
      </c>
      <c r="K116" s="220">
        <f>(8*$L$81)/100</f>
        <v>0</v>
      </c>
      <c r="L116" s="220">
        <f>(6*$L$81)/100</f>
        <v>0</v>
      </c>
      <c r="M116" s="220">
        <f>(4*$L$81)/100</f>
        <v>0</v>
      </c>
    </row>
    <row r="117" spans="1:26">
      <c r="B117" s="73"/>
      <c r="C117" s="73"/>
      <c r="D117" s="73"/>
      <c r="E117" s="73"/>
      <c r="F117" s="73"/>
      <c r="G117" s="73"/>
      <c r="H117" s="73"/>
      <c r="I117" s="73"/>
      <c r="J117" s="73"/>
      <c r="K117" s="73"/>
      <c r="L117" s="51"/>
      <c r="M117" s="51"/>
      <c r="N117" s="51"/>
      <c r="O117" s="51"/>
      <c r="P117" s="51"/>
      <c r="Q117" s="73"/>
      <c r="R117" s="73" t="e">
        <f t="shared" ref="R117:Z117" si="40">IF(R$62="","",R$69+R$73)</f>
        <v>#REF!</v>
      </c>
      <c r="S117" s="73" t="e">
        <f t="shared" si="40"/>
        <v>#REF!</v>
      </c>
      <c r="T117" s="73" t="e">
        <f t="shared" si="40"/>
        <v>#REF!</v>
      </c>
      <c r="U117" s="73" t="e">
        <f t="shared" si="40"/>
        <v>#REF!</v>
      </c>
      <c r="V117" s="73" t="e">
        <f t="shared" si="40"/>
        <v>#REF!</v>
      </c>
      <c r="W117" s="73" t="e">
        <f t="shared" si="40"/>
        <v>#REF!</v>
      </c>
      <c r="X117" s="73" t="e">
        <f t="shared" si="40"/>
        <v>#REF!</v>
      </c>
      <c r="Y117" s="73" t="e">
        <f t="shared" si="40"/>
        <v>#REF!</v>
      </c>
      <c r="Z117" s="73" t="e">
        <f t="shared" si="40"/>
        <v>#REF!</v>
      </c>
    </row>
    <row r="120" spans="1:26">
      <c r="A120" s="30"/>
      <c r="B120" s="30"/>
      <c r="C120" s="30"/>
      <c r="D120" s="30"/>
      <c r="E120" s="30"/>
      <c r="F120" s="30"/>
      <c r="G120" s="30"/>
      <c r="H120" s="30"/>
    </row>
    <row r="121" spans="1:26">
      <c r="A121" s="30"/>
      <c r="B121" s="30"/>
      <c r="C121" s="30"/>
      <c r="D121" s="30"/>
      <c r="E121" s="30"/>
      <c r="F121" s="30"/>
      <c r="G121" s="30"/>
      <c r="H121" s="30"/>
    </row>
    <row r="122" spans="1:26">
      <c r="A122" s="30"/>
      <c r="B122" s="30"/>
      <c r="C122" s="30"/>
      <c r="D122" s="30"/>
      <c r="E122" s="30"/>
      <c r="F122" s="30"/>
      <c r="G122" s="30"/>
      <c r="H122" s="30"/>
      <c r="J122" s="30"/>
      <c r="K122" s="2"/>
    </row>
    <row r="123" spans="1:26">
      <c r="A123" s="30"/>
      <c r="B123" s="30"/>
      <c r="C123" s="30"/>
      <c r="D123" s="30"/>
      <c r="E123" s="30"/>
      <c r="F123" s="30"/>
      <c r="G123" s="30"/>
      <c r="H123" s="30"/>
      <c r="J123" s="30"/>
      <c r="K123" s="2"/>
    </row>
    <row r="124" spans="1:26">
      <c r="A124" s="30"/>
      <c r="B124" s="30"/>
      <c r="C124" s="30"/>
      <c r="D124" s="30"/>
      <c r="E124" s="30"/>
      <c r="F124" s="30"/>
      <c r="G124" s="30"/>
      <c r="H124" s="30"/>
      <c r="J124" s="30"/>
      <c r="K124" s="2"/>
    </row>
    <row r="125" spans="1:26">
      <c r="A125" s="30"/>
      <c r="B125" s="30"/>
      <c r="C125" s="30"/>
      <c r="D125" s="30"/>
      <c r="E125" s="30"/>
      <c r="F125" s="30"/>
      <c r="G125" s="30"/>
      <c r="H125" s="30"/>
      <c r="J125" s="30"/>
      <c r="K125" s="2"/>
    </row>
    <row r="126" spans="1:26">
      <c r="A126" s="30"/>
      <c r="B126" s="30"/>
      <c r="C126" s="30"/>
      <c r="D126" s="30"/>
      <c r="E126" s="30"/>
      <c r="F126" s="30"/>
      <c r="G126" s="30"/>
      <c r="H126" s="30"/>
      <c r="J126" s="30"/>
      <c r="K126" s="2"/>
    </row>
    <row r="127" spans="1:26">
      <c r="A127" s="30"/>
      <c r="B127" s="30"/>
      <c r="C127" s="30"/>
      <c r="D127" s="30"/>
      <c r="E127" s="30"/>
      <c r="F127" s="30"/>
      <c r="G127" s="30"/>
      <c r="H127" s="30"/>
      <c r="J127" s="30"/>
      <c r="K127" s="2"/>
    </row>
    <row r="128" spans="1:26">
      <c r="A128" s="30"/>
      <c r="B128" s="30"/>
      <c r="C128" s="30"/>
      <c r="D128" s="30"/>
      <c r="E128" s="30"/>
      <c r="F128" s="30"/>
      <c r="G128" s="30"/>
      <c r="H128" s="30"/>
      <c r="J128" s="30"/>
      <c r="K128" s="2"/>
    </row>
    <row r="129" spans="1:26">
      <c r="A129" s="30"/>
      <c r="B129" s="30"/>
      <c r="C129" s="30"/>
      <c r="D129" s="30"/>
      <c r="E129" s="30"/>
      <c r="F129" s="30"/>
      <c r="G129" s="30"/>
      <c r="H129" s="30"/>
      <c r="J129" s="30"/>
      <c r="K129" s="2"/>
    </row>
    <row r="130" spans="1:26">
      <c r="A130" s="30"/>
      <c r="B130" s="30"/>
      <c r="C130" s="30"/>
      <c r="D130" s="30"/>
      <c r="E130" s="30"/>
      <c r="F130" s="30"/>
      <c r="G130" s="30"/>
      <c r="H130" s="30"/>
      <c r="J130" s="30"/>
      <c r="K130" s="2"/>
    </row>
    <row r="131" spans="1:26">
      <c r="A131" s="30"/>
      <c r="B131" s="30"/>
      <c r="C131" s="30"/>
      <c r="D131" s="30"/>
      <c r="E131" s="30"/>
      <c r="F131" s="30"/>
      <c r="G131" s="30"/>
      <c r="H131" s="30"/>
      <c r="J131" s="30"/>
      <c r="K131" s="2"/>
    </row>
    <row r="132" spans="1:26">
      <c r="A132" s="30"/>
      <c r="B132" s="30"/>
      <c r="C132" s="30"/>
      <c r="D132" s="30"/>
      <c r="E132" s="30"/>
      <c r="F132" s="30"/>
      <c r="G132" s="30"/>
      <c r="H132" s="30"/>
      <c r="J132" s="30"/>
      <c r="K132" s="2"/>
    </row>
    <row r="133" spans="1:26">
      <c r="A133" s="30"/>
      <c r="B133" s="30"/>
      <c r="C133" s="30"/>
      <c r="D133" s="30"/>
      <c r="E133" s="30"/>
      <c r="F133" s="30"/>
      <c r="G133" s="30"/>
      <c r="H133" s="30"/>
      <c r="J133" s="30"/>
      <c r="K133" s="2"/>
    </row>
    <row r="134" spans="1:26">
      <c r="A134" s="30"/>
      <c r="B134" s="30"/>
      <c r="C134" s="30"/>
      <c r="D134" s="30"/>
      <c r="E134" s="30"/>
      <c r="F134" s="30"/>
      <c r="G134" s="30"/>
      <c r="H134" s="30"/>
      <c r="J134" s="30"/>
      <c r="K134" s="2"/>
    </row>
    <row r="135" spans="1:26">
      <c r="A135" s="30"/>
      <c r="B135" s="30"/>
      <c r="C135" s="30"/>
      <c r="D135" s="30"/>
      <c r="E135" s="30"/>
      <c r="F135" s="30"/>
      <c r="G135" s="30"/>
      <c r="H135" s="30"/>
      <c r="J135" s="30"/>
      <c r="K135" s="2"/>
    </row>
    <row r="136" spans="1:26">
      <c r="A136" s="30"/>
      <c r="B136" s="30"/>
      <c r="C136" s="30"/>
      <c r="D136" s="30"/>
      <c r="E136" s="30"/>
      <c r="F136" s="30"/>
      <c r="G136" s="30"/>
      <c r="H136" s="30"/>
      <c r="J136" s="30"/>
      <c r="K136" s="2"/>
    </row>
    <row r="137" spans="1:26">
      <c r="A137" s="30"/>
      <c r="B137" s="30"/>
      <c r="C137" s="30"/>
      <c r="D137" s="30"/>
      <c r="E137" s="30"/>
      <c r="F137" s="30"/>
      <c r="G137" s="30"/>
      <c r="H137" s="30"/>
      <c r="J137" s="30"/>
      <c r="K137" s="2"/>
    </row>
    <row r="138" spans="1:26">
      <c r="A138" s="30"/>
      <c r="B138" s="30"/>
      <c r="C138" s="30"/>
      <c r="D138" s="30"/>
      <c r="E138" s="30"/>
      <c r="F138" s="30"/>
      <c r="G138" s="30"/>
      <c r="H138" s="30"/>
      <c r="J138" s="30"/>
      <c r="K138" s="2"/>
    </row>
    <row r="139" spans="1:26">
      <c r="A139" s="30"/>
      <c r="B139" s="30"/>
      <c r="C139" s="30"/>
      <c r="D139" s="30"/>
      <c r="E139" s="30"/>
      <c r="F139" s="30"/>
      <c r="G139" s="30"/>
      <c r="H139" s="30"/>
      <c r="J139" s="30"/>
      <c r="K139" s="2"/>
    </row>
    <row r="140" spans="1:26">
      <c r="A140" s="30"/>
      <c r="B140" s="30"/>
      <c r="C140" s="30"/>
      <c r="D140" s="30"/>
      <c r="E140" s="30"/>
      <c r="F140" s="30"/>
      <c r="G140" s="30"/>
      <c r="H140" s="30"/>
      <c r="J140" s="30"/>
      <c r="K140" s="2"/>
    </row>
    <row r="141" spans="1:26">
      <c r="A141" s="30"/>
      <c r="B141" s="30"/>
      <c r="C141" s="30"/>
      <c r="D141" s="30"/>
      <c r="E141" s="30"/>
      <c r="F141" s="30"/>
      <c r="G141" s="30"/>
      <c r="H141" s="30"/>
      <c r="J141" s="30"/>
      <c r="K141" s="2"/>
    </row>
    <row r="142" spans="1:26">
      <c r="J142" s="30"/>
      <c r="K142" s="2"/>
    </row>
    <row r="143" spans="1:26">
      <c r="J143" s="30"/>
      <c r="K143" s="2"/>
      <c r="S143" t="s">
        <v>61</v>
      </c>
      <c r="T143" t="s">
        <v>61</v>
      </c>
      <c r="U143" t="s">
        <v>61</v>
      </c>
      <c r="V143" t="s">
        <v>61</v>
      </c>
      <c r="W143" t="s">
        <v>61</v>
      </c>
      <c r="X143" t="s">
        <v>61</v>
      </c>
      <c r="Y143" t="s">
        <v>61</v>
      </c>
      <c r="Z143" t="s">
        <v>61</v>
      </c>
    </row>
    <row r="145" spans="19:26">
      <c r="S145" t="s">
        <v>61</v>
      </c>
      <c r="T145" t="s">
        <v>61</v>
      </c>
      <c r="U145" t="s">
        <v>61</v>
      </c>
      <c r="V145" t="s">
        <v>61</v>
      </c>
      <c r="W145" t="s">
        <v>61</v>
      </c>
      <c r="X145" t="s">
        <v>61</v>
      </c>
      <c r="Y145" t="s">
        <v>61</v>
      </c>
      <c r="Z145" t="s">
        <v>61</v>
      </c>
    </row>
    <row r="179" spans="7:10">
      <c r="G179" s="9">
        <f>F196+1</f>
        <v>6</v>
      </c>
      <c r="H179" s="9">
        <f>G179+1</f>
        <v>7</v>
      </c>
      <c r="I179" s="9">
        <f>H179+1</f>
        <v>8</v>
      </c>
      <c r="J179" s="9">
        <f>I179+1</f>
        <v>9</v>
      </c>
    </row>
    <row r="187" spans="7:10">
      <c r="G187" s="27"/>
    </row>
    <row r="188" spans="7:10">
      <c r="G188" s="27"/>
    </row>
    <row r="189" spans="7:10">
      <c r="G189" s="9">
        <f>F196+1</f>
        <v>6</v>
      </c>
    </row>
    <row r="190" spans="7:10">
      <c r="G190" s="27"/>
      <c r="H190" s="27"/>
      <c r="I190" s="27"/>
      <c r="J190" s="27"/>
    </row>
    <row r="191" spans="7:10">
      <c r="G191" s="27"/>
      <c r="H191" s="27"/>
      <c r="I191" s="27"/>
      <c r="J191" s="27"/>
    </row>
    <row r="192" spans="7:10">
      <c r="G192" s="27"/>
      <c r="H192" s="9"/>
      <c r="I192" s="9"/>
      <c r="J192" s="9"/>
    </row>
    <row r="193" spans="2:52">
      <c r="G193" s="27"/>
      <c r="H193" s="27"/>
      <c r="I193" s="27"/>
      <c r="J193" s="27"/>
    </row>
    <row r="194" spans="2:52">
      <c r="B194" s="27"/>
      <c r="C194" s="27"/>
      <c r="D194" s="27"/>
      <c r="E194" s="27"/>
      <c r="F194" s="27"/>
      <c r="G194" s="27"/>
      <c r="H194" s="27"/>
      <c r="I194" s="27"/>
      <c r="J194" s="27"/>
    </row>
    <row r="195" spans="2:52">
      <c r="B195" s="27"/>
      <c r="C195" s="27"/>
      <c r="D195" s="27"/>
      <c r="E195" s="27"/>
      <c r="F195" s="27"/>
      <c r="G195" s="27"/>
      <c r="H195" s="27"/>
      <c r="I195" s="27"/>
      <c r="J195" s="27"/>
    </row>
    <row r="196" spans="2:52">
      <c r="B196" s="9">
        <v>1</v>
      </c>
      <c r="C196" s="9">
        <f>B196+1</f>
        <v>2</v>
      </c>
      <c r="D196" s="9">
        <f>C196+1</f>
        <v>3</v>
      </c>
      <c r="E196" s="9">
        <f>D196+1</f>
        <v>4</v>
      </c>
      <c r="F196" s="9">
        <f>E196+1</f>
        <v>5</v>
      </c>
      <c r="G196" s="27"/>
      <c r="H196" s="27"/>
      <c r="I196" s="27"/>
      <c r="J196" s="27"/>
      <c r="K196" s="9">
        <f>J179+1</f>
        <v>10</v>
      </c>
      <c r="L196" s="9">
        <f t="shared" ref="L196:AK196" si="41">K196+1</f>
        <v>11</v>
      </c>
      <c r="M196" s="9">
        <f t="shared" si="41"/>
        <v>12</v>
      </c>
      <c r="N196" s="9">
        <f t="shared" si="41"/>
        <v>13</v>
      </c>
      <c r="O196" s="9">
        <f t="shared" si="41"/>
        <v>14</v>
      </c>
      <c r="P196" s="9">
        <f t="shared" si="41"/>
        <v>15</v>
      </c>
      <c r="Q196" s="9">
        <f t="shared" si="41"/>
        <v>16</v>
      </c>
      <c r="R196" s="9">
        <f t="shared" si="41"/>
        <v>17</v>
      </c>
      <c r="S196" s="9">
        <f t="shared" si="41"/>
        <v>18</v>
      </c>
      <c r="T196" s="9">
        <f t="shared" si="41"/>
        <v>19</v>
      </c>
      <c r="U196" s="9">
        <f t="shared" si="41"/>
        <v>20</v>
      </c>
      <c r="V196" s="9">
        <f t="shared" si="41"/>
        <v>21</v>
      </c>
      <c r="W196" s="9">
        <f t="shared" si="41"/>
        <v>22</v>
      </c>
      <c r="X196" s="9">
        <f t="shared" si="41"/>
        <v>23</v>
      </c>
      <c r="Y196" s="9">
        <f t="shared" si="41"/>
        <v>24</v>
      </c>
      <c r="Z196" s="9">
        <f t="shared" si="41"/>
        <v>25</v>
      </c>
      <c r="AA196" s="9">
        <f t="shared" si="41"/>
        <v>26</v>
      </c>
      <c r="AB196" s="9">
        <f t="shared" si="41"/>
        <v>27</v>
      </c>
      <c r="AC196" s="9">
        <f t="shared" si="41"/>
        <v>28</v>
      </c>
      <c r="AD196" s="9">
        <f t="shared" si="41"/>
        <v>29</v>
      </c>
      <c r="AE196" s="9">
        <f t="shared" si="41"/>
        <v>30</v>
      </c>
      <c r="AF196" s="9">
        <f t="shared" si="41"/>
        <v>31</v>
      </c>
      <c r="AG196" s="9">
        <f t="shared" si="41"/>
        <v>32</v>
      </c>
      <c r="AH196" s="9">
        <f t="shared" si="41"/>
        <v>33</v>
      </c>
      <c r="AI196" s="9">
        <f t="shared" si="41"/>
        <v>34</v>
      </c>
      <c r="AJ196" s="9">
        <f t="shared" si="41"/>
        <v>35</v>
      </c>
      <c r="AK196" s="9">
        <f t="shared" si="41"/>
        <v>36</v>
      </c>
    </row>
    <row r="197" spans="2:52">
      <c r="B197" s="27"/>
      <c r="C197" s="27"/>
      <c r="D197" s="27"/>
      <c r="E197" s="27"/>
      <c r="F197" s="27"/>
      <c r="G197" s="27"/>
      <c r="H197" s="27"/>
      <c r="I197" s="27"/>
      <c r="J197" s="27"/>
    </row>
    <row r="198" spans="2:52">
      <c r="B198" s="27"/>
      <c r="C198" s="27"/>
      <c r="D198" s="27"/>
      <c r="E198" s="27"/>
      <c r="F198" s="27"/>
      <c r="H198" s="27"/>
      <c r="I198" s="27"/>
      <c r="J198" s="27"/>
    </row>
    <row r="199" spans="2:52">
      <c r="B199" s="27"/>
      <c r="C199" s="27"/>
      <c r="D199" s="27"/>
      <c r="E199" s="27"/>
      <c r="F199" s="27"/>
      <c r="H199" s="27"/>
      <c r="I199" s="27"/>
      <c r="J199" s="27"/>
    </row>
    <row r="200" spans="2:52">
      <c r="B200" s="27"/>
      <c r="C200" s="27"/>
      <c r="D200" s="27"/>
      <c r="E200" s="27"/>
      <c r="F200" s="27"/>
      <c r="H200" s="27"/>
      <c r="I200" s="27"/>
      <c r="J200" s="27"/>
    </row>
    <row r="201" spans="2:52">
      <c r="B201" s="27"/>
      <c r="C201" s="27"/>
      <c r="D201" s="27"/>
      <c r="E201" s="27"/>
      <c r="F201" s="27"/>
    </row>
    <row r="202" spans="2:52">
      <c r="B202" s="27"/>
      <c r="C202" s="27"/>
      <c r="D202" s="27"/>
      <c r="E202" s="27"/>
      <c r="F202" s="27"/>
    </row>
    <row r="203" spans="2:52">
      <c r="B203" s="27"/>
      <c r="C203" s="27"/>
      <c r="D203" s="27"/>
      <c r="E203" s="27"/>
      <c r="F203" s="27"/>
    </row>
    <row r="204" spans="2:52">
      <c r="B204" s="27"/>
      <c r="C204" s="27"/>
      <c r="D204" s="27"/>
      <c r="E204" s="27"/>
      <c r="F204" s="27"/>
    </row>
    <row r="206" spans="2:52">
      <c r="C206" s="9">
        <v>4</v>
      </c>
    </row>
    <row r="207" spans="2:52">
      <c r="V207" s="27"/>
      <c r="W207" s="27"/>
      <c r="X207" s="27"/>
      <c r="Y207" s="27"/>
      <c r="Z207" s="27"/>
      <c r="AA207" s="27"/>
    </row>
    <row r="208" spans="2:52">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row>
    <row r="209" spans="11:52">
      <c r="K209" s="27"/>
      <c r="L209" s="27"/>
      <c r="M209" s="27"/>
      <c r="N209" s="27"/>
      <c r="O209" s="27"/>
      <c r="P209" s="27"/>
      <c r="Q209" s="27"/>
      <c r="R209" s="27"/>
      <c r="S209" s="27"/>
      <c r="T209" s="27"/>
      <c r="U209" s="27"/>
      <c r="V209" s="9"/>
      <c r="W209" s="9"/>
      <c r="X209" s="9"/>
      <c r="Y209" s="9"/>
      <c r="Z209" s="9"/>
      <c r="AA209" s="9"/>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row>
    <row r="210" spans="11:52">
      <c r="K210" s="9">
        <f>J192+1</f>
        <v>1</v>
      </c>
      <c r="L210" s="9">
        <f t="shared" ref="L210:AA210" si="42">K210+1</f>
        <v>2</v>
      </c>
      <c r="M210" s="9">
        <f t="shared" si="42"/>
        <v>3</v>
      </c>
      <c r="N210" s="9">
        <f t="shared" si="42"/>
        <v>4</v>
      </c>
      <c r="O210" s="9">
        <f t="shared" si="42"/>
        <v>5</v>
      </c>
      <c r="P210" s="9">
        <f t="shared" si="42"/>
        <v>6</v>
      </c>
      <c r="Q210" s="9">
        <f t="shared" si="42"/>
        <v>7</v>
      </c>
      <c r="R210" s="9">
        <f t="shared" si="42"/>
        <v>8</v>
      </c>
      <c r="S210" s="9">
        <f t="shared" si="42"/>
        <v>9</v>
      </c>
      <c r="T210" s="9">
        <f t="shared" si="42"/>
        <v>10</v>
      </c>
      <c r="U210" s="9">
        <f t="shared" si="42"/>
        <v>11</v>
      </c>
      <c r="V210" s="9">
        <f t="shared" si="42"/>
        <v>12</v>
      </c>
      <c r="W210" s="9">
        <f t="shared" si="42"/>
        <v>13</v>
      </c>
      <c r="X210" s="9">
        <f t="shared" si="42"/>
        <v>14</v>
      </c>
      <c r="Y210" s="9">
        <f t="shared" si="42"/>
        <v>15</v>
      </c>
      <c r="Z210" s="9">
        <f t="shared" si="42"/>
        <v>16</v>
      </c>
      <c r="AA210" s="9">
        <f t="shared" si="42"/>
        <v>17</v>
      </c>
      <c r="AB210" s="9">
        <f>AA209+1</f>
        <v>1</v>
      </c>
      <c r="AC210" s="9">
        <f t="shared" ref="AC210:AR211" si="43">AB210+1</f>
        <v>2</v>
      </c>
      <c r="AD210" s="9">
        <f t="shared" si="43"/>
        <v>3</v>
      </c>
      <c r="AE210" s="9">
        <f t="shared" si="43"/>
        <v>4</v>
      </c>
      <c r="AF210" s="9">
        <f t="shared" si="43"/>
        <v>5</v>
      </c>
      <c r="AG210" s="9">
        <f t="shared" si="43"/>
        <v>6</v>
      </c>
      <c r="AH210" s="9">
        <f t="shared" si="43"/>
        <v>7</v>
      </c>
      <c r="AI210" s="9">
        <f t="shared" si="43"/>
        <v>8</v>
      </c>
      <c r="AJ210" s="9">
        <f t="shared" si="43"/>
        <v>9</v>
      </c>
      <c r="AK210" s="9">
        <f t="shared" si="43"/>
        <v>10</v>
      </c>
      <c r="AL210" s="9">
        <f t="shared" si="43"/>
        <v>11</v>
      </c>
      <c r="AM210" s="9">
        <f t="shared" si="43"/>
        <v>12</v>
      </c>
      <c r="AN210" s="9">
        <f t="shared" si="43"/>
        <v>13</v>
      </c>
      <c r="AO210" s="9">
        <f t="shared" si="43"/>
        <v>14</v>
      </c>
      <c r="AP210" s="9">
        <f t="shared" si="43"/>
        <v>15</v>
      </c>
      <c r="AQ210" s="9">
        <f t="shared" si="43"/>
        <v>16</v>
      </c>
      <c r="AR210" s="9">
        <f t="shared" si="43"/>
        <v>17</v>
      </c>
      <c r="AS210" s="9">
        <f t="shared" ref="AM210:AY211" si="44">AR210+1</f>
        <v>18</v>
      </c>
      <c r="AT210" s="9">
        <f t="shared" si="44"/>
        <v>19</v>
      </c>
      <c r="AU210" s="9">
        <f t="shared" si="44"/>
        <v>20</v>
      </c>
      <c r="AV210" s="9">
        <f t="shared" si="44"/>
        <v>21</v>
      </c>
      <c r="AW210" s="9">
        <f t="shared" si="44"/>
        <v>22</v>
      </c>
      <c r="AX210" s="9">
        <f t="shared" si="44"/>
        <v>23</v>
      </c>
      <c r="AY210" s="9">
        <f t="shared" si="44"/>
        <v>24</v>
      </c>
      <c r="AZ210" s="27"/>
    </row>
    <row r="211" spans="11:52">
      <c r="K211" s="27"/>
      <c r="L211" s="27"/>
      <c r="M211" s="27"/>
      <c r="N211" s="27"/>
      <c r="O211" s="27"/>
      <c r="P211" s="27"/>
      <c r="Q211" s="27"/>
      <c r="R211" s="27"/>
      <c r="S211" s="27"/>
      <c r="T211" s="27"/>
      <c r="U211" s="27"/>
      <c r="V211" s="27"/>
      <c r="W211" s="27"/>
      <c r="X211" s="27"/>
      <c r="Y211" s="27"/>
      <c r="Z211" s="27"/>
      <c r="AA211" s="27"/>
      <c r="AB211" s="9">
        <f>AA210+1</f>
        <v>18</v>
      </c>
      <c r="AC211" s="9">
        <f t="shared" si="43"/>
        <v>19</v>
      </c>
      <c r="AD211" s="9">
        <f t="shared" si="43"/>
        <v>20</v>
      </c>
      <c r="AE211" s="9">
        <f t="shared" si="43"/>
        <v>21</v>
      </c>
      <c r="AF211" s="9">
        <f t="shared" si="43"/>
        <v>22</v>
      </c>
      <c r="AG211" s="9">
        <f t="shared" si="43"/>
        <v>23</v>
      </c>
      <c r="AH211" s="9">
        <f t="shared" si="43"/>
        <v>24</v>
      </c>
      <c r="AI211" s="9">
        <f t="shared" si="43"/>
        <v>25</v>
      </c>
      <c r="AJ211" s="9">
        <f t="shared" si="43"/>
        <v>26</v>
      </c>
      <c r="AK211" s="9">
        <f t="shared" si="43"/>
        <v>27</v>
      </c>
      <c r="AL211" s="9">
        <f t="shared" si="43"/>
        <v>28</v>
      </c>
      <c r="AM211" s="9">
        <f t="shared" si="44"/>
        <v>29</v>
      </c>
      <c r="AN211" s="9">
        <f t="shared" si="44"/>
        <v>30</v>
      </c>
      <c r="AO211" s="9">
        <f t="shared" si="44"/>
        <v>31</v>
      </c>
      <c r="AP211" s="9">
        <f t="shared" si="44"/>
        <v>32</v>
      </c>
      <c r="AQ211" s="9">
        <f t="shared" si="44"/>
        <v>33</v>
      </c>
      <c r="AR211" s="9">
        <f t="shared" si="44"/>
        <v>34</v>
      </c>
      <c r="AS211" s="9">
        <f t="shared" si="44"/>
        <v>35</v>
      </c>
      <c r="AT211" s="9">
        <f t="shared" si="44"/>
        <v>36</v>
      </c>
      <c r="AU211" s="9">
        <f t="shared" si="44"/>
        <v>37</v>
      </c>
      <c r="AV211" s="9">
        <f t="shared" si="44"/>
        <v>38</v>
      </c>
      <c r="AW211" s="9">
        <f t="shared" si="44"/>
        <v>39</v>
      </c>
      <c r="AX211" s="9">
        <f t="shared" si="44"/>
        <v>40</v>
      </c>
      <c r="AY211" s="9">
        <f t="shared" si="44"/>
        <v>41</v>
      </c>
      <c r="AZ211" s="27"/>
    </row>
    <row r="212" spans="11:52">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row>
    <row r="213" spans="11:52">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row>
    <row r="214" spans="11:52">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row>
    <row r="215" spans="11:52">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row>
    <row r="216" spans="11:52">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row>
    <row r="217" spans="11:52">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row>
    <row r="218" spans="11:52">
      <c r="K218" s="27"/>
      <c r="L218" s="27"/>
      <c r="M218" s="27"/>
      <c r="N218" s="27"/>
      <c r="O218" s="27"/>
      <c r="P218" s="27"/>
      <c r="Q218" s="27"/>
      <c r="R218" s="27"/>
      <c r="S218" s="27"/>
      <c r="T218" s="27"/>
      <c r="U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row>
    <row r="241" spans="17:51">
      <c r="Q241" s="9">
        <f>P210+1</f>
        <v>7</v>
      </c>
      <c r="R241" s="9">
        <f>Q241+1</f>
        <v>8</v>
      </c>
      <c r="S241" s="9">
        <f>R241+1</f>
        <v>9</v>
      </c>
      <c r="T241" s="9">
        <f>S241+1</f>
        <v>10</v>
      </c>
      <c r="U241" s="9">
        <f>T241+1</f>
        <v>11</v>
      </c>
    </row>
    <row r="250" spans="17:51">
      <c r="V250" s="9">
        <f>U241+1</f>
        <v>12</v>
      </c>
      <c r="W250" s="9">
        <f>V250+1</f>
        <v>13</v>
      </c>
      <c r="X250" s="9">
        <f>W250+1</f>
        <v>14</v>
      </c>
      <c r="Y250" s="9">
        <f>X250+1</f>
        <v>15</v>
      </c>
      <c r="Z250" s="9">
        <f>Y250+1</f>
        <v>16</v>
      </c>
      <c r="AA250" s="9">
        <f>Z250+1</f>
        <v>17</v>
      </c>
    </row>
    <row r="251" spans="17:51">
      <c r="AB251" s="9">
        <f>AA250+1</f>
        <v>18</v>
      </c>
      <c r="AC251" s="9">
        <f t="shared" ref="AC251:AY251" si="45">AB251+1</f>
        <v>19</v>
      </c>
      <c r="AD251" s="9">
        <f t="shared" si="45"/>
        <v>20</v>
      </c>
      <c r="AE251" s="9">
        <f t="shared" si="45"/>
        <v>21</v>
      </c>
      <c r="AF251" s="9">
        <f t="shared" si="45"/>
        <v>22</v>
      </c>
      <c r="AG251" s="9">
        <f t="shared" si="45"/>
        <v>23</v>
      </c>
      <c r="AH251" s="9">
        <f t="shared" si="45"/>
        <v>24</v>
      </c>
      <c r="AI251" s="9">
        <f t="shared" si="45"/>
        <v>25</v>
      </c>
      <c r="AJ251" s="9">
        <f t="shared" si="45"/>
        <v>26</v>
      </c>
      <c r="AK251" s="9">
        <f t="shared" si="45"/>
        <v>27</v>
      </c>
      <c r="AL251" s="9">
        <f t="shared" si="45"/>
        <v>28</v>
      </c>
      <c r="AM251" s="9">
        <f t="shared" si="45"/>
        <v>29</v>
      </c>
      <c r="AN251" s="9">
        <f t="shared" si="45"/>
        <v>30</v>
      </c>
      <c r="AO251" s="9">
        <f t="shared" si="45"/>
        <v>31</v>
      </c>
      <c r="AP251" s="9">
        <f t="shared" si="45"/>
        <v>32</v>
      </c>
      <c r="AQ251" s="9">
        <f t="shared" si="45"/>
        <v>33</v>
      </c>
      <c r="AR251" s="9">
        <f t="shared" si="45"/>
        <v>34</v>
      </c>
      <c r="AS251" s="9">
        <f t="shared" si="45"/>
        <v>35</v>
      </c>
      <c r="AT251" s="9">
        <f t="shared" si="45"/>
        <v>36</v>
      </c>
      <c r="AU251" s="9">
        <f t="shared" si="45"/>
        <v>37</v>
      </c>
      <c r="AV251" s="9">
        <f t="shared" si="45"/>
        <v>38</v>
      </c>
      <c r="AW251" s="9">
        <f t="shared" si="45"/>
        <v>39</v>
      </c>
      <c r="AX251" s="9">
        <f t="shared" si="45"/>
        <v>40</v>
      </c>
      <c r="AY251" s="9">
        <f t="shared" si="45"/>
        <v>41</v>
      </c>
    </row>
  </sheetData>
  <mergeCells count="2">
    <mergeCell ref="A2:B2"/>
    <mergeCell ref="C2:D2"/>
  </mergeCells>
  <dataValidations count="2">
    <dataValidation showInputMessage="1" showErrorMessage="1" sqref="B5" xr:uid="{3DFC1BDF-7825-4FEB-BF55-3D2917D9060B}"/>
    <dataValidation type="list" allowBlank="1" showInputMessage="1" showErrorMessage="1" sqref="B11" xr:uid="{60F085FB-C1F9-44F6-AEE2-808773234613}">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05BF-80CC-47F3-B40F-2BF24ADE4DF0}">
  <sheetPr>
    <tabColor rgb="FF00B050"/>
  </sheetPr>
  <dimension ref="A2:L33"/>
  <sheetViews>
    <sheetView showGridLines="0" workbookViewId="0">
      <selection sqref="A1:XFD1048576"/>
    </sheetView>
  </sheetViews>
  <sheetFormatPr defaultColWidth="8.875" defaultRowHeight="14.25"/>
  <cols>
    <col min="1" max="2" width="11.25" style="305" customWidth="1"/>
    <col min="3" max="4" width="12" style="305" customWidth="1"/>
    <col min="5" max="5" width="13.75" style="305" bestFit="1" customWidth="1"/>
    <col min="6" max="6" width="12.625" style="305" customWidth="1"/>
    <col min="7" max="11" width="12" style="305" customWidth="1"/>
    <col min="12" max="16384" width="8.875" style="305"/>
  </cols>
  <sheetData>
    <row r="2" spans="1:12" ht="15">
      <c r="A2" s="250" t="s">
        <v>136</v>
      </c>
    </row>
    <row r="3" spans="1:12">
      <c r="A3" s="305" t="s">
        <v>114</v>
      </c>
    </row>
    <row r="5" spans="1:12">
      <c r="A5" s="305" t="s">
        <v>124</v>
      </c>
    </row>
    <row r="7" spans="1:12" ht="14.25" customHeight="1">
      <c r="A7" s="306"/>
      <c r="B7" s="307" t="s">
        <v>89</v>
      </c>
      <c r="C7" s="308"/>
      <c r="D7" s="308"/>
      <c r="E7" s="308"/>
      <c r="F7" s="308"/>
      <c r="G7" s="308"/>
      <c r="H7" s="308"/>
      <c r="I7" s="309"/>
    </row>
    <row r="8" spans="1:12" ht="15">
      <c r="A8" s="311" t="s">
        <v>1</v>
      </c>
      <c r="B8" s="256">
        <v>0</v>
      </c>
      <c r="C8" s="257">
        <v>2.5000000000000001E-3</v>
      </c>
      <c r="D8" s="257">
        <v>5.0000000000000001E-3</v>
      </c>
      <c r="E8" s="257">
        <v>7.4999999999999997E-3</v>
      </c>
      <c r="F8" s="257">
        <v>0.01</v>
      </c>
      <c r="G8" s="257">
        <v>1.2500000000000001E-2</v>
      </c>
      <c r="H8" s="257">
        <v>1.4999999999999999E-2</v>
      </c>
      <c r="I8" s="258">
        <v>1.7500000000000002E-2</v>
      </c>
      <c r="K8" s="310" t="s">
        <v>152</v>
      </c>
    </row>
    <row r="9" spans="1:12">
      <c r="A9" s="312">
        <v>1</v>
      </c>
      <c r="B9" s="313">
        <v>2.5000000000000001E-3</v>
      </c>
      <c r="C9" s="318">
        <v>5.0000000000000001E-3</v>
      </c>
      <c r="D9" s="318">
        <v>7.4999999999999997E-3</v>
      </c>
      <c r="E9" s="318">
        <v>0.01</v>
      </c>
      <c r="F9" s="318">
        <v>1.2500000000000001E-2</v>
      </c>
      <c r="G9" s="318">
        <v>1.5000000000000001E-2</v>
      </c>
      <c r="H9" s="318">
        <v>1.7499999999999998E-2</v>
      </c>
      <c r="I9" s="319">
        <v>0.02</v>
      </c>
      <c r="K9" s="316">
        <v>1</v>
      </c>
      <c r="L9" s="317"/>
    </row>
    <row r="10" spans="1:12">
      <c r="A10" s="312">
        <f>A9+1</f>
        <v>2</v>
      </c>
      <c r="B10" s="313">
        <v>2.5000000000000001E-3</v>
      </c>
      <c r="C10" s="318">
        <v>5.0000000000000001E-3</v>
      </c>
      <c r="D10" s="318">
        <v>7.4999999999999997E-3</v>
      </c>
      <c r="E10" s="318">
        <v>0.01</v>
      </c>
      <c r="F10" s="318">
        <v>1.2500000000000001E-2</v>
      </c>
      <c r="G10" s="318">
        <v>1.5000000000000001E-2</v>
      </c>
      <c r="H10" s="318">
        <v>1.7499999999999998E-2</v>
      </c>
      <c r="I10" s="319">
        <v>0.02</v>
      </c>
      <c r="K10" s="316">
        <v>1</v>
      </c>
      <c r="L10" s="317"/>
    </row>
    <row r="11" spans="1:12">
      <c r="A11" s="312">
        <f t="shared" ref="A11:A22" si="0">A10+1</f>
        <v>3</v>
      </c>
      <c r="B11" s="313">
        <v>2.5000000000000001E-3</v>
      </c>
      <c r="C11" s="318">
        <v>5.0000000000000001E-3</v>
      </c>
      <c r="D11" s="318">
        <v>7.4999999999999997E-3</v>
      </c>
      <c r="E11" s="318">
        <v>0.01</v>
      </c>
      <c r="F11" s="318">
        <v>1.2500000000000001E-2</v>
      </c>
      <c r="G11" s="318">
        <v>1.5000000000000001E-2</v>
      </c>
      <c r="H11" s="318">
        <v>1.7499999999999998E-2</v>
      </c>
      <c r="I11" s="319">
        <v>0.02</v>
      </c>
      <c r="K11" s="316">
        <v>1</v>
      </c>
      <c r="L11" s="317"/>
    </row>
    <row r="12" spans="1:12">
      <c r="A12" s="312">
        <f t="shared" si="0"/>
        <v>4</v>
      </c>
      <c r="B12" s="313">
        <v>2.5000000000000001E-3</v>
      </c>
      <c r="C12" s="318">
        <v>5.0000000000000001E-3</v>
      </c>
      <c r="D12" s="318">
        <v>7.4999999999999997E-3</v>
      </c>
      <c r="E12" s="318">
        <v>0.01</v>
      </c>
      <c r="F12" s="318">
        <v>1.2500000000000001E-2</v>
      </c>
      <c r="G12" s="318">
        <v>1.5000000000000001E-2</v>
      </c>
      <c r="H12" s="318">
        <v>1.7499999999999998E-2</v>
      </c>
      <c r="I12" s="319">
        <v>0.02</v>
      </c>
      <c r="K12" s="316">
        <v>1</v>
      </c>
      <c r="L12" s="317"/>
    </row>
    <row r="13" spans="1:12">
      <c r="A13" s="312">
        <f t="shared" si="0"/>
        <v>5</v>
      </c>
      <c r="B13" s="313">
        <v>9.3433369852915921E-3</v>
      </c>
      <c r="C13" s="318">
        <v>1.1014367632109345E-2</v>
      </c>
      <c r="D13" s="318">
        <v>1.267379934910191E-2</v>
      </c>
      <c r="E13" s="318">
        <v>1.4339884916560582E-2</v>
      </c>
      <c r="F13" s="318">
        <v>1.6012467426545975E-2</v>
      </c>
      <c r="G13" s="318">
        <v>1.7691395321140578E-2</v>
      </c>
      <c r="H13" s="318">
        <v>1.9376522155544473E-2</v>
      </c>
      <c r="I13" s="319">
        <v>2.1067706372886241E-2</v>
      </c>
      <c r="K13" s="316">
        <v>0.90000000000000013</v>
      </c>
      <c r="L13" s="317"/>
    </row>
    <row r="14" spans="1:12">
      <c r="A14" s="312">
        <f t="shared" si="0"/>
        <v>6</v>
      </c>
      <c r="B14" s="313">
        <v>9.3433369852915921E-3</v>
      </c>
      <c r="C14" s="318">
        <v>1.1014367632109345E-2</v>
      </c>
      <c r="D14" s="318">
        <v>1.267379934910191E-2</v>
      </c>
      <c r="E14" s="318">
        <v>1.4339884916560582E-2</v>
      </c>
      <c r="F14" s="318">
        <v>1.6012467426545975E-2</v>
      </c>
      <c r="G14" s="318">
        <v>1.7691395321140578E-2</v>
      </c>
      <c r="H14" s="318">
        <v>1.9376522155544473E-2</v>
      </c>
      <c r="I14" s="319">
        <v>2.1067706372886241E-2</v>
      </c>
      <c r="K14" s="316">
        <v>0.90000000000000013</v>
      </c>
      <c r="L14" s="317"/>
    </row>
    <row r="15" spans="1:12">
      <c r="A15" s="312">
        <f t="shared" si="0"/>
        <v>7</v>
      </c>
      <c r="B15" s="313">
        <v>8.2922115744462864E-3</v>
      </c>
      <c r="C15" s="318">
        <v>9.7752512734970431E-3</v>
      </c>
      <c r="D15" s="318">
        <v>1.1247996922327943E-2</v>
      </c>
      <c r="E15" s="318">
        <v>1.2726647863447516E-2</v>
      </c>
      <c r="F15" s="318">
        <v>1.4211064841059551E-2</v>
      </c>
      <c r="G15" s="318">
        <v>1.5701113347512261E-2</v>
      </c>
      <c r="H15" s="318">
        <v>1.719666341304572E-2</v>
      </c>
      <c r="I15" s="319">
        <v>1.8697589405936538E-2</v>
      </c>
      <c r="K15" s="316">
        <v>0.79875000000000018</v>
      </c>
      <c r="L15" s="317"/>
    </row>
    <row r="16" spans="1:12">
      <c r="A16" s="312">
        <f t="shared" si="0"/>
        <v>8</v>
      </c>
      <c r="B16" s="313">
        <v>5.9563773281233884E-3</v>
      </c>
      <c r="C16" s="318">
        <v>7.021659365469707E-3</v>
      </c>
      <c r="D16" s="318">
        <v>8.079547085052468E-3</v>
      </c>
      <c r="E16" s="318">
        <v>9.1416766343073719E-3</v>
      </c>
      <c r="F16" s="318">
        <v>1.0207947984423057E-2</v>
      </c>
      <c r="G16" s="318">
        <v>1.1278264517227117E-2</v>
      </c>
      <c r="H16" s="318">
        <v>1.2352532874159602E-2</v>
      </c>
      <c r="I16" s="319">
        <v>1.343066281271498E-2</v>
      </c>
      <c r="K16" s="316">
        <v>0.57375000000000009</v>
      </c>
      <c r="L16" s="317"/>
    </row>
    <row r="17" spans="1:12">
      <c r="A17" s="312">
        <f t="shared" si="0"/>
        <v>9</v>
      </c>
      <c r="B17" s="313">
        <v>3.386959657168202E-3</v>
      </c>
      <c r="C17" s="318">
        <v>3.9927082666396376E-3</v>
      </c>
      <c r="D17" s="318">
        <v>4.5942522640494421E-3</v>
      </c>
      <c r="E17" s="318">
        <v>5.1982082822532114E-3</v>
      </c>
      <c r="F17" s="318">
        <v>5.8045194421229157E-3</v>
      </c>
      <c r="G17" s="318">
        <v>6.4131308039134588E-3</v>
      </c>
      <c r="H17" s="318">
        <v>7.0239892813848724E-3</v>
      </c>
      <c r="I17" s="319">
        <v>7.6370435601712632E-3</v>
      </c>
      <c r="K17" s="316">
        <v>0.32625000000000004</v>
      </c>
      <c r="L17" s="317"/>
    </row>
    <row r="18" spans="1:12">
      <c r="A18" s="312">
        <f t="shared" si="0"/>
        <v>10</v>
      </c>
      <c r="B18" s="313">
        <v>1.0511254108453039E-3</v>
      </c>
      <c r="C18" s="318">
        <v>1.2391163586123011E-3</v>
      </c>
      <c r="D18" s="318">
        <v>1.4258024267739646E-3</v>
      </c>
      <c r="E18" s="318">
        <v>1.6132370531130654E-3</v>
      </c>
      <c r="F18" s="318">
        <v>1.8014025854864221E-3</v>
      </c>
      <c r="G18" s="318">
        <v>1.9902819736283147E-3</v>
      </c>
      <c r="H18" s="318">
        <v>2.1798587424987532E-3</v>
      </c>
      <c r="I18" s="319">
        <v>2.370116966949702E-3</v>
      </c>
      <c r="K18" s="316">
        <v>0.10125000000000002</v>
      </c>
      <c r="L18" s="317"/>
    </row>
    <row r="19" spans="1:12">
      <c r="A19" s="312">
        <f t="shared" si="0"/>
        <v>11</v>
      </c>
      <c r="B19" s="313">
        <v>2.0250000000000004E-4</v>
      </c>
      <c r="C19" s="318">
        <v>4.0500000000000009E-4</v>
      </c>
      <c r="D19" s="318">
        <v>6.0750000000000018E-4</v>
      </c>
      <c r="E19" s="318">
        <v>8.1000000000000017E-4</v>
      </c>
      <c r="F19" s="318">
        <v>1.0125000000000002E-3</v>
      </c>
      <c r="G19" s="318">
        <v>1.2150000000000002E-3</v>
      </c>
      <c r="H19" s="318">
        <v>1.4175000000000001E-3</v>
      </c>
      <c r="I19" s="319">
        <v>1.6200000000000003E-3</v>
      </c>
      <c r="K19" s="316">
        <v>8.1000000000000016E-2</v>
      </c>
      <c r="L19" s="317"/>
    </row>
    <row r="20" spans="1:12">
      <c r="A20" s="312">
        <f t="shared" si="0"/>
        <v>12</v>
      </c>
      <c r="B20" s="313">
        <v>1.6200000000000003E-4</v>
      </c>
      <c r="C20" s="318">
        <v>3.2400000000000007E-4</v>
      </c>
      <c r="D20" s="318">
        <v>4.860000000000001E-4</v>
      </c>
      <c r="E20" s="318">
        <v>6.4800000000000014E-4</v>
      </c>
      <c r="F20" s="318">
        <v>8.1000000000000017E-4</v>
      </c>
      <c r="G20" s="318">
        <v>9.7200000000000021E-4</v>
      </c>
      <c r="H20" s="318">
        <v>1.1340000000000002E-3</v>
      </c>
      <c r="I20" s="319">
        <v>1.2960000000000003E-3</v>
      </c>
      <c r="K20" s="316">
        <v>6.480000000000001E-2</v>
      </c>
      <c r="L20" s="317"/>
    </row>
    <row r="21" spans="1:12">
      <c r="A21" s="312">
        <f t="shared" si="0"/>
        <v>13</v>
      </c>
      <c r="B21" s="313">
        <v>1.2960000000000003E-4</v>
      </c>
      <c r="C21" s="318">
        <v>2.5920000000000007E-4</v>
      </c>
      <c r="D21" s="318">
        <v>3.8880000000000013E-4</v>
      </c>
      <c r="E21" s="318">
        <v>5.1840000000000013E-4</v>
      </c>
      <c r="F21" s="318">
        <v>6.4800000000000014E-4</v>
      </c>
      <c r="G21" s="318">
        <v>7.7760000000000014E-4</v>
      </c>
      <c r="H21" s="318">
        <v>9.0720000000000026E-4</v>
      </c>
      <c r="I21" s="319">
        <v>1.0368000000000003E-3</v>
      </c>
      <c r="K21" s="316">
        <v>5.1840000000000011E-2</v>
      </c>
      <c r="L21" s="317"/>
    </row>
    <row r="22" spans="1:12">
      <c r="A22" s="312">
        <f t="shared" si="0"/>
        <v>14</v>
      </c>
      <c r="B22" s="313">
        <v>1.0368000000000004E-4</v>
      </c>
      <c r="C22" s="318">
        <v>2.0736000000000007E-4</v>
      </c>
      <c r="D22" s="318">
        <v>3.1104000000000011E-4</v>
      </c>
      <c r="E22" s="318">
        <v>4.1472000000000015E-4</v>
      </c>
      <c r="F22" s="318">
        <v>5.1840000000000024E-4</v>
      </c>
      <c r="G22" s="318">
        <v>6.2208000000000012E-4</v>
      </c>
      <c r="H22" s="318">
        <v>7.2576000000000021E-4</v>
      </c>
      <c r="I22" s="319">
        <v>8.294400000000003E-4</v>
      </c>
      <c r="K22" s="316">
        <v>4.1472000000000016E-2</v>
      </c>
      <c r="L22" s="317"/>
    </row>
    <row r="23" spans="1:12">
      <c r="A23" s="320">
        <f>A22+1</f>
        <v>15</v>
      </c>
      <c r="B23" s="321">
        <v>8.2944000000000038E-5</v>
      </c>
      <c r="C23" s="322">
        <v>1.6588800000000008E-4</v>
      </c>
      <c r="D23" s="322">
        <v>2.488320000000001E-4</v>
      </c>
      <c r="E23" s="322">
        <v>3.3177600000000015E-4</v>
      </c>
      <c r="F23" s="322">
        <v>4.147200000000002E-4</v>
      </c>
      <c r="G23" s="322">
        <v>4.976640000000002E-4</v>
      </c>
      <c r="H23" s="322">
        <v>5.8060800000000025E-4</v>
      </c>
      <c r="I23" s="323">
        <v>6.635520000000002E-4</v>
      </c>
      <c r="K23" s="316">
        <v>3.3177600000000015E-2</v>
      </c>
      <c r="L23" s="317"/>
    </row>
    <row r="25" spans="1:12">
      <c r="A25" s="305" t="s">
        <v>154</v>
      </c>
    </row>
    <row r="26" spans="1:12">
      <c r="A26" s="305" t="s">
        <v>153</v>
      </c>
    </row>
    <row r="28" spans="1:12">
      <c r="A28" s="324" t="s">
        <v>157</v>
      </c>
    </row>
    <row r="29" spans="1:12">
      <c r="A29" s="305" t="s">
        <v>155</v>
      </c>
    </row>
    <row r="30" spans="1:12">
      <c r="A30" s="305" t="s">
        <v>160</v>
      </c>
    </row>
    <row r="32" spans="1:12">
      <c r="A32" s="324" t="s">
        <v>158</v>
      </c>
    </row>
    <row r="33" spans="1:1">
      <c r="A33" s="305" t="s">
        <v>159</v>
      </c>
    </row>
  </sheetData>
  <mergeCells count="1">
    <mergeCell ref="B7:I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5E82-F78F-4354-8442-94580DC62028}">
  <sheetPr>
    <tabColor rgb="FF00B050"/>
  </sheetPr>
  <dimension ref="A2:L33"/>
  <sheetViews>
    <sheetView showGridLines="0"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6384" width="8.875" style="305"/>
  </cols>
  <sheetData>
    <row r="2" spans="1:12" ht="15">
      <c r="A2" s="250" t="s">
        <v>137</v>
      </c>
      <c r="B2" s="250"/>
    </row>
    <row r="3" spans="1:12">
      <c r="A3" s="305" t="s">
        <v>115</v>
      </c>
    </row>
    <row r="5" spans="1:12">
      <c r="A5" s="305" t="s">
        <v>124</v>
      </c>
    </row>
    <row r="7" spans="1:12" ht="14.25" customHeight="1">
      <c r="A7" s="306"/>
      <c r="B7" s="307" t="s">
        <v>89</v>
      </c>
      <c r="C7" s="308"/>
      <c r="D7" s="308"/>
      <c r="E7" s="308"/>
      <c r="F7" s="308"/>
      <c r="G7" s="308"/>
      <c r="H7" s="308"/>
      <c r="I7" s="309"/>
    </row>
    <row r="8" spans="1:12" ht="15">
      <c r="A8" s="311" t="s">
        <v>1</v>
      </c>
      <c r="B8" s="256">
        <v>0</v>
      </c>
      <c r="C8" s="257">
        <v>2.5000000000000001E-3</v>
      </c>
      <c r="D8" s="257">
        <v>5.0000000000000001E-3</v>
      </c>
      <c r="E8" s="257">
        <v>7.4999999999999997E-3</v>
      </c>
      <c r="F8" s="257">
        <v>0.01</v>
      </c>
      <c r="G8" s="257">
        <v>1.2500000000000001E-2</v>
      </c>
      <c r="H8" s="257">
        <v>1.4999999999999999E-2</v>
      </c>
      <c r="I8" s="258">
        <v>1.7500000000000002E-2</v>
      </c>
      <c r="K8" s="310" t="s">
        <v>152</v>
      </c>
    </row>
    <row r="9" spans="1:12">
      <c r="A9" s="312">
        <v>1</v>
      </c>
      <c r="B9" s="328">
        <v>3.0000000000000001E-3</v>
      </c>
      <c r="C9" s="318">
        <v>5.4999999999999997E-3</v>
      </c>
      <c r="D9" s="318">
        <v>8.0000000000000002E-3</v>
      </c>
      <c r="E9" s="318">
        <v>1.0499999999999999E-2</v>
      </c>
      <c r="F9" s="318">
        <v>1.3000000000000001E-2</v>
      </c>
      <c r="G9" s="318">
        <v>1.55E-2</v>
      </c>
      <c r="H9" s="318">
        <v>1.7999999999999999E-2</v>
      </c>
      <c r="I9" s="319">
        <v>2.0500000000000001E-2</v>
      </c>
      <c r="K9" s="316">
        <v>1</v>
      </c>
      <c r="L9" s="317"/>
    </row>
    <row r="10" spans="1:12">
      <c r="A10" s="312">
        <f>A9+1</f>
        <v>2</v>
      </c>
      <c r="B10" s="328">
        <v>3.0000000000000001E-3</v>
      </c>
      <c r="C10" s="318">
        <v>5.4999999999999997E-3</v>
      </c>
      <c r="D10" s="318">
        <v>8.0000000000000002E-3</v>
      </c>
      <c r="E10" s="318">
        <v>1.0499999999999999E-2</v>
      </c>
      <c r="F10" s="318">
        <v>1.3000000000000001E-2</v>
      </c>
      <c r="G10" s="318">
        <v>1.55E-2</v>
      </c>
      <c r="H10" s="318">
        <v>1.7999999999999999E-2</v>
      </c>
      <c r="I10" s="319">
        <v>2.0500000000000001E-2</v>
      </c>
      <c r="K10" s="316">
        <v>1</v>
      </c>
      <c r="L10" s="317"/>
    </row>
    <row r="11" spans="1:12">
      <c r="A11" s="312">
        <f t="shared" ref="A11:A22" si="0">A10+1</f>
        <v>3</v>
      </c>
      <c r="B11" s="328">
        <v>3.0000000000000001E-3</v>
      </c>
      <c r="C11" s="318">
        <v>5.4999999999999997E-3</v>
      </c>
      <c r="D11" s="318">
        <v>8.0000000000000002E-3</v>
      </c>
      <c r="E11" s="318">
        <v>1.0499999999999999E-2</v>
      </c>
      <c r="F11" s="318">
        <v>1.3000000000000001E-2</v>
      </c>
      <c r="G11" s="318">
        <v>1.55E-2</v>
      </c>
      <c r="H11" s="318">
        <v>1.7999999999999999E-2</v>
      </c>
      <c r="I11" s="319">
        <v>2.0500000000000001E-2</v>
      </c>
      <c r="K11" s="316">
        <v>1</v>
      </c>
      <c r="L11" s="317"/>
    </row>
    <row r="12" spans="1:12">
      <c r="A12" s="312">
        <f t="shared" si="0"/>
        <v>4</v>
      </c>
      <c r="B12" s="328">
        <v>7.8331913823666312E-3</v>
      </c>
      <c r="C12" s="318">
        <v>9.8796018858833337E-3</v>
      </c>
      <c r="D12" s="318">
        <v>1.1928088851653876E-2</v>
      </c>
      <c r="E12" s="318">
        <v>1.3978608491516234E-2</v>
      </c>
      <c r="F12" s="318">
        <v>1.60311183567011E-2</v>
      </c>
      <c r="G12" s="318">
        <v>1.8085577284329454E-2</v>
      </c>
      <c r="H12" s="318">
        <v>2.0141945346538372E-2</v>
      </c>
      <c r="I12" s="319">
        <v>2.220018380208285E-2</v>
      </c>
      <c r="K12" s="316">
        <v>0.90000000000000013</v>
      </c>
      <c r="L12" s="317"/>
    </row>
    <row r="13" spans="1:12">
      <c r="A13" s="312">
        <f t="shared" si="0"/>
        <v>5</v>
      </c>
      <c r="B13" s="328">
        <v>7.8331913823666312E-3</v>
      </c>
      <c r="C13" s="318">
        <v>9.8796018858833337E-3</v>
      </c>
      <c r="D13" s="318">
        <v>1.1928088851653876E-2</v>
      </c>
      <c r="E13" s="318">
        <v>1.3978608491516234E-2</v>
      </c>
      <c r="F13" s="318">
        <v>1.60311183567011E-2</v>
      </c>
      <c r="G13" s="318">
        <v>1.8085577284329454E-2</v>
      </c>
      <c r="H13" s="318">
        <v>2.0141945346538372E-2</v>
      </c>
      <c r="I13" s="319">
        <v>2.220018380208285E-2</v>
      </c>
      <c r="K13" s="316">
        <v>0.90000000000000013</v>
      </c>
      <c r="L13" s="317"/>
    </row>
    <row r="14" spans="1:12">
      <c r="A14" s="312">
        <f t="shared" si="0"/>
        <v>6</v>
      </c>
      <c r="B14" s="328">
        <v>7.8331913823666312E-3</v>
      </c>
      <c r="C14" s="318">
        <v>9.8796018858833337E-3</v>
      </c>
      <c r="D14" s="318">
        <v>1.1928088851653876E-2</v>
      </c>
      <c r="E14" s="318">
        <v>1.3978608491516234E-2</v>
      </c>
      <c r="F14" s="318">
        <v>1.60311183567011E-2</v>
      </c>
      <c r="G14" s="318">
        <v>1.8085577284329454E-2</v>
      </c>
      <c r="H14" s="318">
        <v>2.0141945346538372E-2</v>
      </c>
      <c r="I14" s="319">
        <v>2.220018380208285E-2</v>
      </c>
      <c r="K14" s="316">
        <v>0.90000000000000013</v>
      </c>
      <c r="L14" s="317"/>
    </row>
    <row r="15" spans="1:12">
      <c r="A15" s="312">
        <f t="shared" si="0"/>
        <v>7</v>
      </c>
      <c r="B15" s="328">
        <v>7.8331913823666312E-3</v>
      </c>
      <c r="C15" s="318">
        <v>9.8796018858833337E-3</v>
      </c>
      <c r="D15" s="318">
        <v>1.1928088851653876E-2</v>
      </c>
      <c r="E15" s="318">
        <v>1.3978608491516234E-2</v>
      </c>
      <c r="F15" s="318">
        <v>1.60311183567011E-2</v>
      </c>
      <c r="G15" s="318">
        <v>1.8085577284329454E-2</v>
      </c>
      <c r="H15" s="318">
        <v>2.0141945346538372E-2</v>
      </c>
      <c r="I15" s="319">
        <v>2.220018380208285E-2</v>
      </c>
      <c r="K15" s="316">
        <v>0.90000000000000013</v>
      </c>
      <c r="L15" s="317"/>
    </row>
    <row r="16" spans="1:12">
      <c r="A16" s="312">
        <f t="shared" si="0"/>
        <v>8</v>
      </c>
      <c r="B16" s="328">
        <v>6.9519573518503838E-3</v>
      </c>
      <c r="C16" s="318">
        <v>8.7681466737214581E-3</v>
      </c>
      <c r="D16" s="318">
        <v>1.0586178855842815E-2</v>
      </c>
      <c r="E16" s="318">
        <v>1.2406015036220658E-2</v>
      </c>
      <c r="F16" s="318">
        <v>1.4227617541572226E-2</v>
      </c>
      <c r="G16" s="318">
        <v>1.6050949839842392E-2</v>
      </c>
      <c r="H16" s="318">
        <v>1.7875976495052806E-2</v>
      </c>
      <c r="I16" s="319">
        <v>1.9702663124348527E-2</v>
      </c>
      <c r="K16" s="316">
        <v>0.79875000000000007</v>
      </c>
      <c r="L16" s="317"/>
    </row>
    <row r="17" spans="1:12">
      <c r="A17" s="312">
        <f t="shared" si="0"/>
        <v>9</v>
      </c>
      <c r="B17" s="328">
        <v>4.6019999371403955E-3</v>
      </c>
      <c r="C17" s="318">
        <v>5.8042661079564586E-3</v>
      </c>
      <c r="D17" s="318">
        <v>7.0077522003466515E-3</v>
      </c>
      <c r="E17" s="318">
        <v>8.2124324887657869E-3</v>
      </c>
      <c r="F17" s="318">
        <v>9.4182820345618951E-3</v>
      </c>
      <c r="G17" s="318">
        <v>1.0625276654543554E-2</v>
      </c>
      <c r="H17" s="318">
        <v>1.1833392891091294E-2</v>
      </c>
      <c r="I17" s="319">
        <v>1.3042607983723673E-2</v>
      </c>
      <c r="K17" s="316">
        <v>0.52875000000000005</v>
      </c>
      <c r="L17" s="317"/>
    </row>
    <row r="18" spans="1:12">
      <c r="A18" s="312">
        <f t="shared" si="0"/>
        <v>10</v>
      </c>
      <c r="B18" s="328">
        <v>1.5666382764733262E-3</v>
      </c>
      <c r="C18" s="318">
        <v>1.975920377176667E-3</v>
      </c>
      <c r="D18" s="318">
        <v>2.3856177703307753E-3</v>
      </c>
      <c r="E18" s="318">
        <v>2.795721698303247E-3</v>
      </c>
      <c r="F18" s="318">
        <v>3.2062236713402202E-3</v>
      </c>
      <c r="G18" s="318">
        <v>3.6171154568658912E-3</v>
      </c>
      <c r="H18" s="318">
        <v>4.0283890693076745E-3</v>
      </c>
      <c r="I18" s="319">
        <v>4.4400367604165705E-3</v>
      </c>
      <c r="K18" s="316">
        <v>0.18000000000000005</v>
      </c>
      <c r="L18" s="317"/>
    </row>
    <row r="19" spans="1:12">
      <c r="A19" s="312">
        <f t="shared" si="0"/>
        <v>11</v>
      </c>
      <c r="B19" s="328">
        <v>4.3200000000000009E-4</v>
      </c>
      <c r="C19" s="318">
        <v>7.9200000000000017E-4</v>
      </c>
      <c r="D19" s="318">
        <v>1.1520000000000002E-3</v>
      </c>
      <c r="E19" s="318">
        <v>1.5120000000000003E-3</v>
      </c>
      <c r="F19" s="318">
        <v>1.8720000000000006E-3</v>
      </c>
      <c r="G19" s="318">
        <v>2.2320000000000005E-3</v>
      </c>
      <c r="H19" s="318">
        <v>2.5920000000000006E-3</v>
      </c>
      <c r="I19" s="319">
        <v>2.9520000000000015E-3</v>
      </c>
      <c r="K19" s="316">
        <v>0.14400000000000007</v>
      </c>
      <c r="L19" s="317"/>
    </row>
    <row r="20" spans="1:12">
      <c r="A20" s="312">
        <f t="shared" si="0"/>
        <v>12</v>
      </c>
      <c r="B20" s="328">
        <v>3.4560000000000011E-4</v>
      </c>
      <c r="C20" s="318">
        <v>6.3360000000000022E-4</v>
      </c>
      <c r="D20" s="318">
        <v>9.2160000000000028E-4</v>
      </c>
      <c r="E20" s="318">
        <v>1.2096000000000003E-3</v>
      </c>
      <c r="F20" s="318">
        <v>1.4976000000000006E-3</v>
      </c>
      <c r="G20" s="318">
        <v>1.7856000000000007E-3</v>
      </c>
      <c r="H20" s="318">
        <v>2.0736000000000005E-3</v>
      </c>
      <c r="I20" s="319">
        <v>2.3616000000000015E-3</v>
      </c>
      <c r="K20" s="316">
        <v>0.11520000000000007</v>
      </c>
      <c r="L20" s="317"/>
    </row>
    <row r="21" spans="1:12">
      <c r="A21" s="312">
        <f t="shared" si="0"/>
        <v>13</v>
      </c>
      <c r="B21" s="328">
        <v>2.7648000000000012E-4</v>
      </c>
      <c r="C21" s="318">
        <v>5.0688000000000024E-4</v>
      </c>
      <c r="D21" s="318">
        <v>7.3728000000000031E-4</v>
      </c>
      <c r="E21" s="318">
        <v>9.6768000000000028E-4</v>
      </c>
      <c r="F21" s="318">
        <v>1.1980800000000005E-3</v>
      </c>
      <c r="G21" s="318">
        <v>1.4284800000000006E-3</v>
      </c>
      <c r="H21" s="318">
        <v>1.6588800000000006E-3</v>
      </c>
      <c r="I21" s="319">
        <v>1.8892800000000012E-3</v>
      </c>
      <c r="K21" s="316">
        <v>9.2160000000000047E-2</v>
      </c>
      <c r="L21" s="317"/>
    </row>
    <row r="22" spans="1:12">
      <c r="A22" s="312">
        <f t="shared" si="0"/>
        <v>14</v>
      </c>
      <c r="B22" s="328">
        <v>2.2118400000000011E-4</v>
      </c>
      <c r="C22" s="318">
        <v>4.0550400000000022E-4</v>
      </c>
      <c r="D22" s="318">
        <v>5.8982400000000029E-4</v>
      </c>
      <c r="E22" s="318">
        <v>7.7414400000000037E-4</v>
      </c>
      <c r="F22" s="318">
        <v>9.5846400000000045E-4</v>
      </c>
      <c r="G22" s="318">
        <v>1.1427840000000004E-3</v>
      </c>
      <c r="H22" s="318">
        <v>1.3271040000000006E-3</v>
      </c>
      <c r="I22" s="319">
        <v>1.511424000000001E-3</v>
      </c>
      <c r="K22" s="316">
        <v>7.3728000000000044E-2</v>
      </c>
      <c r="L22" s="317"/>
    </row>
    <row r="23" spans="1:12">
      <c r="A23" s="320">
        <f>A22+1</f>
        <v>15</v>
      </c>
      <c r="B23" s="329">
        <v>1.7694720000000009E-4</v>
      </c>
      <c r="C23" s="322">
        <v>3.2440320000000019E-4</v>
      </c>
      <c r="D23" s="322">
        <v>4.7185920000000021E-4</v>
      </c>
      <c r="E23" s="322">
        <v>6.1931520000000034E-4</v>
      </c>
      <c r="F23" s="322">
        <v>7.6677120000000036E-4</v>
      </c>
      <c r="G23" s="322">
        <v>9.1422720000000038E-4</v>
      </c>
      <c r="H23" s="322">
        <v>1.0616832000000006E-3</v>
      </c>
      <c r="I23" s="323">
        <v>1.2091392000000009E-3</v>
      </c>
      <c r="K23" s="316">
        <v>5.8982400000000039E-2</v>
      </c>
      <c r="L23" s="317"/>
    </row>
    <row r="25" spans="1:12">
      <c r="A25" s="305" t="s">
        <v>154</v>
      </c>
    </row>
    <row r="26" spans="1:12">
      <c r="A26" s="305" t="s">
        <v>153</v>
      </c>
    </row>
    <row r="28" spans="1:12">
      <c r="A28" s="324" t="s">
        <v>157</v>
      </c>
    </row>
    <row r="29" spans="1:12">
      <c r="A29" s="305" t="s">
        <v>155</v>
      </c>
    </row>
    <row r="30" spans="1:12">
      <c r="A30" s="305" t="s">
        <v>160</v>
      </c>
    </row>
    <row r="32" spans="1:12">
      <c r="A32" s="324" t="s">
        <v>158</v>
      </c>
    </row>
    <row r="33" spans="1:1">
      <c r="A33" s="305" t="s">
        <v>159</v>
      </c>
    </row>
  </sheetData>
  <mergeCells count="1">
    <mergeCell ref="B7:I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E56D8-82EE-42FF-9468-23EB85ADAC19}">
  <sheetPr>
    <tabColor rgb="FF00B050"/>
  </sheetPr>
  <dimension ref="A2:L34"/>
  <sheetViews>
    <sheetView showGridLines="0"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6384" width="8.875" style="305"/>
  </cols>
  <sheetData>
    <row r="2" spans="1:12" ht="15">
      <c r="A2" s="250" t="s">
        <v>138</v>
      </c>
      <c r="B2" s="250"/>
    </row>
    <row r="3" spans="1:12">
      <c r="A3" s="305" t="s">
        <v>147</v>
      </c>
    </row>
    <row r="4" spans="1:12">
      <c r="A4" s="305" t="s">
        <v>148</v>
      </c>
    </row>
    <row r="6" spans="1:12">
      <c r="A6" s="305" t="s">
        <v>124</v>
      </c>
    </row>
    <row r="8" spans="1:12" ht="14.25" customHeight="1">
      <c r="A8" s="306"/>
      <c r="B8" s="307" t="s">
        <v>89</v>
      </c>
      <c r="C8" s="308"/>
      <c r="D8" s="308"/>
      <c r="E8" s="308"/>
      <c r="F8" s="308"/>
      <c r="G8" s="308"/>
      <c r="H8" s="308"/>
      <c r="I8" s="309"/>
    </row>
    <row r="9" spans="1:12" ht="15">
      <c r="A9" s="311" t="s">
        <v>1</v>
      </c>
      <c r="B9" s="256">
        <v>0</v>
      </c>
      <c r="C9" s="257">
        <v>2.5000000000000001E-3</v>
      </c>
      <c r="D9" s="257">
        <v>5.0000000000000001E-3</v>
      </c>
      <c r="E9" s="257">
        <v>7.4999999999999997E-3</v>
      </c>
      <c r="F9" s="257">
        <v>0.01</v>
      </c>
      <c r="G9" s="257">
        <v>1.2500000000000001E-2</v>
      </c>
      <c r="H9" s="257">
        <v>1.4999999999999999E-2</v>
      </c>
      <c r="I9" s="258">
        <v>1.7500000000000002E-2</v>
      </c>
      <c r="K9" s="310" t="s">
        <v>152</v>
      </c>
    </row>
    <row r="10" spans="1:12">
      <c r="A10" s="312">
        <v>1</v>
      </c>
      <c r="B10" s="313">
        <v>3.0000000000000001E-3</v>
      </c>
      <c r="C10" s="318">
        <v>5.4999999999999997E-3</v>
      </c>
      <c r="D10" s="318">
        <v>8.0000000000000002E-3</v>
      </c>
      <c r="E10" s="318">
        <v>1.0499999999999999E-2</v>
      </c>
      <c r="F10" s="318">
        <v>1.3000000000000001E-2</v>
      </c>
      <c r="G10" s="318">
        <v>1.55E-2</v>
      </c>
      <c r="H10" s="318">
        <v>1.7999999999999999E-2</v>
      </c>
      <c r="I10" s="319">
        <v>2.0500000000000001E-2</v>
      </c>
      <c r="K10" s="316">
        <v>1</v>
      </c>
      <c r="L10" s="317"/>
    </row>
    <row r="11" spans="1:12">
      <c r="A11" s="312">
        <f>A10+1</f>
        <v>2</v>
      </c>
      <c r="B11" s="313">
        <v>3.0000000000000001E-3</v>
      </c>
      <c r="C11" s="318">
        <v>5.4999999999999997E-3</v>
      </c>
      <c r="D11" s="318">
        <v>8.0000000000000002E-3</v>
      </c>
      <c r="E11" s="318">
        <v>1.0499999999999999E-2</v>
      </c>
      <c r="F11" s="318">
        <v>1.3000000000000001E-2</v>
      </c>
      <c r="G11" s="318">
        <v>1.55E-2</v>
      </c>
      <c r="H11" s="318">
        <v>1.7999999999999999E-2</v>
      </c>
      <c r="I11" s="319">
        <v>2.0500000000000001E-2</v>
      </c>
      <c r="K11" s="316">
        <v>1</v>
      </c>
      <c r="L11" s="317"/>
    </row>
    <row r="12" spans="1:12">
      <c r="A12" s="312">
        <f t="shared" ref="A12:A23" si="0">A11+1</f>
        <v>3</v>
      </c>
      <c r="B12" s="313">
        <v>3.0000000000000001E-3</v>
      </c>
      <c r="C12" s="318">
        <v>5.4999999999999997E-3</v>
      </c>
      <c r="D12" s="318">
        <v>8.0000000000000002E-3</v>
      </c>
      <c r="E12" s="318">
        <v>1.0499999999999999E-2</v>
      </c>
      <c r="F12" s="318">
        <v>1.3000000000000001E-2</v>
      </c>
      <c r="G12" s="318">
        <v>1.55E-2</v>
      </c>
      <c r="H12" s="318">
        <v>1.7999999999999999E-2</v>
      </c>
      <c r="I12" s="319">
        <v>2.0500000000000001E-2</v>
      </c>
      <c r="K12" s="316">
        <v>1</v>
      </c>
      <c r="L12" s="317"/>
    </row>
    <row r="13" spans="1:12">
      <c r="A13" s="312">
        <f t="shared" si="0"/>
        <v>4</v>
      </c>
      <c r="B13" s="313">
        <v>3.0000000000000001E-3</v>
      </c>
      <c r="C13" s="318">
        <v>5.4999999999999997E-3</v>
      </c>
      <c r="D13" s="318">
        <v>8.0000000000000002E-3</v>
      </c>
      <c r="E13" s="318">
        <v>1.0499999999999999E-2</v>
      </c>
      <c r="F13" s="318">
        <v>1.3000000000000001E-2</v>
      </c>
      <c r="G13" s="318">
        <v>1.55E-2</v>
      </c>
      <c r="H13" s="318">
        <v>1.7999999999999999E-2</v>
      </c>
      <c r="I13" s="319">
        <v>2.0500000000000001E-2</v>
      </c>
      <c r="K13" s="316">
        <v>1</v>
      </c>
      <c r="L13" s="317"/>
    </row>
    <row r="14" spans="1:12">
      <c r="A14" s="312">
        <f t="shared" si="0"/>
        <v>5</v>
      </c>
      <c r="B14" s="313">
        <v>5.1515259969973116E-3</v>
      </c>
      <c r="C14" s="318">
        <v>7.1241176133769232E-3</v>
      </c>
      <c r="D14" s="318">
        <v>9.0996933852932269E-3</v>
      </c>
      <c r="E14" s="318">
        <v>1.107818126480163E-2</v>
      </c>
      <c r="F14" s="318">
        <v>1.3059511681531157E-2</v>
      </c>
      <c r="G14" s="318">
        <v>1.5043617431008858E-2</v>
      </c>
      <c r="H14" s="318">
        <v>1.7030433574738001E-2</v>
      </c>
      <c r="I14" s="319">
        <v>1.901989732823519E-2</v>
      </c>
      <c r="K14" s="316">
        <v>0.90000000000000013</v>
      </c>
      <c r="L14" s="317"/>
    </row>
    <row r="15" spans="1:12">
      <c r="A15" s="312">
        <f t="shared" si="0"/>
        <v>6</v>
      </c>
      <c r="B15" s="313">
        <v>5.1515259969973116E-3</v>
      </c>
      <c r="C15" s="318">
        <v>7.1241176133769232E-3</v>
      </c>
      <c r="D15" s="318">
        <v>9.0996933852932269E-3</v>
      </c>
      <c r="E15" s="318">
        <v>1.107818126480163E-2</v>
      </c>
      <c r="F15" s="318">
        <v>1.3059511681531157E-2</v>
      </c>
      <c r="G15" s="318">
        <v>1.5043617431008858E-2</v>
      </c>
      <c r="H15" s="318">
        <v>1.7030433574738001E-2</v>
      </c>
      <c r="I15" s="319">
        <v>1.901989732823519E-2</v>
      </c>
      <c r="K15" s="316">
        <v>0.90000000000000013</v>
      </c>
      <c r="L15" s="317"/>
    </row>
    <row r="16" spans="1:12">
      <c r="A16" s="312">
        <f t="shared" si="0"/>
        <v>7</v>
      </c>
      <c r="B16" s="313">
        <v>5.1515259969973116E-3</v>
      </c>
      <c r="C16" s="318">
        <v>7.1241176133769232E-3</v>
      </c>
      <c r="D16" s="318">
        <v>9.0996933852932269E-3</v>
      </c>
      <c r="E16" s="318">
        <v>1.107818126480163E-2</v>
      </c>
      <c r="F16" s="318">
        <v>1.3059511681531157E-2</v>
      </c>
      <c r="G16" s="318">
        <v>1.5043617431008858E-2</v>
      </c>
      <c r="H16" s="318">
        <v>1.7030433574738001E-2</v>
      </c>
      <c r="I16" s="319">
        <v>1.901989732823519E-2</v>
      </c>
      <c r="K16" s="316">
        <v>0.90000000000000013</v>
      </c>
      <c r="L16" s="317"/>
    </row>
    <row r="17" spans="1:12">
      <c r="A17" s="312">
        <f t="shared" si="0"/>
        <v>8</v>
      </c>
      <c r="B17" s="313">
        <v>4.5719793223351138E-3</v>
      </c>
      <c r="C17" s="318">
        <v>6.3226543818720189E-3</v>
      </c>
      <c r="D17" s="318">
        <v>8.0759778794477384E-3</v>
      </c>
      <c r="E17" s="318">
        <v>9.8318858725114453E-3</v>
      </c>
      <c r="F17" s="318">
        <v>1.1590316617358903E-2</v>
      </c>
      <c r="G17" s="318">
        <v>1.335121047002036E-2</v>
      </c>
      <c r="H17" s="318">
        <v>1.5114509797579974E-2</v>
      </c>
      <c r="I17" s="319">
        <v>1.688015887880873E-2</v>
      </c>
      <c r="K17" s="316">
        <v>0.79875000000000018</v>
      </c>
      <c r="L17" s="317"/>
    </row>
    <row r="18" spans="1:12">
      <c r="A18" s="312">
        <f t="shared" si="0"/>
        <v>9</v>
      </c>
      <c r="B18" s="313">
        <v>3.2840978230857859E-3</v>
      </c>
      <c r="C18" s="318">
        <v>4.5416249785277876E-3</v>
      </c>
      <c r="D18" s="318">
        <v>5.8010545331244326E-3</v>
      </c>
      <c r="E18" s="318">
        <v>7.0623405563110392E-3</v>
      </c>
      <c r="F18" s="318">
        <v>8.3254386969761132E-3</v>
      </c>
      <c r="G18" s="318">
        <v>9.590306112268146E-3</v>
      </c>
      <c r="H18" s="318">
        <v>1.0856901403895475E-2</v>
      </c>
      <c r="I18" s="319">
        <v>1.2125184546749934E-2</v>
      </c>
      <c r="K18" s="316">
        <v>0.57375000000000009</v>
      </c>
      <c r="L18" s="317"/>
    </row>
    <row r="19" spans="1:12">
      <c r="A19" s="312">
        <f t="shared" si="0"/>
        <v>10</v>
      </c>
      <c r="B19" s="313">
        <v>1.8674281739115253E-3</v>
      </c>
      <c r="C19" s="318">
        <v>2.5824926348491347E-3</v>
      </c>
      <c r="D19" s="318">
        <v>3.2986388521687947E-3</v>
      </c>
      <c r="E19" s="318">
        <v>4.0158407084905905E-3</v>
      </c>
      <c r="F19" s="318">
        <v>4.7340729845550449E-3</v>
      </c>
      <c r="G19" s="318">
        <v>5.4533113187407107E-3</v>
      </c>
      <c r="H19" s="318">
        <v>6.1735321708425248E-3</v>
      </c>
      <c r="I19" s="319">
        <v>6.8947127814852557E-3</v>
      </c>
      <c r="K19" s="316">
        <v>0.32625000000000004</v>
      </c>
      <c r="L19" s="317"/>
    </row>
    <row r="20" spans="1:12">
      <c r="A20" s="312">
        <f t="shared" si="0"/>
        <v>11</v>
      </c>
      <c r="B20" s="313">
        <v>7.8300000000000028E-4</v>
      </c>
      <c r="C20" s="318">
        <v>1.4355000000000006E-3</v>
      </c>
      <c r="D20" s="318">
        <v>2.0880000000000004E-3</v>
      </c>
      <c r="E20" s="318">
        <v>2.7405000000000007E-3</v>
      </c>
      <c r="F20" s="318">
        <v>3.393000000000001E-3</v>
      </c>
      <c r="G20" s="318">
        <v>4.0455000000000014E-3</v>
      </c>
      <c r="H20" s="318">
        <v>4.6980000000000008E-3</v>
      </c>
      <c r="I20" s="319">
        <v>5.3505000000000011E-3</v>
      </c>
      <c r="K20" s="316">
        <v>0.26100000000000007</v>
      </c>
      <c r="L20" s="317"/>
    </row>
    <row r="21" spans="1:12">
      <c r="A21" s="312">
        <f t="shared" si="0"/>
        <v>12</v>
      </c>
      <c r="B21" s="313">
        <v>6.2640000000000026E-4</v>
      </c>
      <c r="C21" s="318">
        <v>1.1484000000000004E-3</v>
      </c>
      <c r="D21" s="318">
        <v>1.6704000000000007E-3</v>
      </c>
      <c r="E21" s="318">
        <v>2.1924000000000006E-3</v>
      </c>
      <c r="F21" s="318">
        <v>2.7144000000000014E-3</v>
      </c>
      <c r="G21" s="318">
        <v>3.2364000000000013E-3</v>
      </c>
      <c r="H21" s="318">
        <v>3.7584000000000011E-3</v>
      </c>
      <c r="I21" s="319">
        <v>4.280400000000001E-3</v>
      </c>
      <c r="K21" s="316">
        <v>0.2088000000000001</v>
      </c>
      <c r="L21" s="317"/>
    </row>
    <row r="22" spans="1:12">
      <c r="A22" s="312">
        <f t="shared" si="0"/>
        <v>13</v>
      </c>
      <c r="B22" s="313">
        <v>5.0112000000000019E-4</v>
      </c>
      <c r="C22" s="318">
        <v>9.1872000000000037E-4</v>
      </c>
      <c r="D22" s="318">
        <v>1.3363200000000006E-3</v>
      </c>
      <c r="E22" s="318">
        <v>1.7539200000000008E-3</v>
      </c>
      <c r="F22" s="318">
        <v>2.171520000000001E-3</v>
      </c>
      <c r="G22" s="318">
        <v>2.5891200000000012E-3</v>
      </c>
      <c r="H22" s="318">
        <v>3.0067200000000014E-3</v>
      </c>
      <c r="I22" s="319">
        <v>3.4243200000000011E-3</v>
      </c>
      <c r="K22" s="316">
        <v>0.16704000000000008</v>
      </c>
      <c r="L22" s="317"/>
    </row>
    <row r="23" spans="1:12">
      <c r="A23" s="312">
        <f t="shared" si="0"/>
        <v>14</v>
      </c>
      <c r="B23" s="313">
        <v>4.0089600000000019E-4</v>
      </c>
      <c r="C23" s="318">
        <v>7.3497600000000036E-4</v>
      </c>
      <c r="D23" s="318">
        <v>1.0690560000000005E-3</v>
      </c>
      <c r="E23" s="318">
        <v>1.4031360000000006E-3</v>
      </c>
      <c r="F23" s="318">
        <v>1.7372160000000008E-3</v>
      </c>
      <c r="G23" s="318">
        <v>2.0712960000000011E-3</v>
      </c>
      <c r="H23" s="318">
        <v>2.4053760000000007E-3</v>
      </c>
      <c r="I23" s="319">
        <v>2.7394560000000012E-3</v>
      </c>
      <c r="K23" s="316">
        <v>0.13363200000000006</v>
      </c>
      <c r="L23" s="317"/>
    </row>
    <row r="24" spans="1:12">
      <c r="A24" s="320">
        <f>A23+1</f>
        <v>15</v>
      </c>
      <c r="B24" s="321">
        <v>3.2071680000000019E-4</v>
      </c>
      <c r="C24" s="322">
        <v>5.8798080000000037E-4</v>
      </c>
      <c r="D24" s="322">
        <v>8.552448000000005E-4</v>
      </c>
      <c r="E24" s="322">
        <v>1.1225088000000006E-3</v>
      </c>
      <c r="F24" s="322">
        <v>1.3897728000000008E-3</v>
      </c>
      <c r="G24" s="322">
        <v>1.6570368000000009E-3</v>
      </c>
      <c r="H24" s="322">
        <v>1.924300800000001E-3</v>
      </c>
      <c r="I24" s="323">
        <v>2.1915648000000007E-3</v>
      </c>
      <c r="K24" s="316">
        <v>0.10690560000000005</v>
      </c>
      <c r="L24" s="317"/>
    </row>
    <row r="26" spans="1:12">
      <c r="A26" s="305" t="s">
        <v>154</v>
      </c>
    </row>
    <row r="27" spans="1:12">
      <c r="A27" s="305" t="s">
        <v>153</v>
      </c>
    </row>
    <row r="29" spans="1:12">
      <c r="A29" s="324" t="s">
        <v>157</v>
      </c>
    </row>
    <row r="30" spans="1:12">
      <c r="A30" s="305" t="s">
        <v>155</v>
      </c>
    </row>
    <row r="31" spans="1:12">
      <c r="A31" s="305" t="s">
        <v>160</v>
      </c>
    </row>
    <row r="33" spans="1:1">
      <c r="A33" s="324" t="s">
        <v>158</v>
      </c>
    </row>
    <row r="34" spans="1:1">
      <c r="A34" s="305" t="s">
        <v>159</v>
      </c>
    </row>
  </sheetData>
  <mergeCells count="1">
    <mergeCell ref="B8:I8"/>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2764-8C37-4DE1-AF50-32D811F6566F}">
  <sheetPr>
    <tabColor rgb="FF00B050"/>
  </sheetPr>
  <dimension ref="A2:AZ62"/>
  <sheetViews>
    <sheetView showGridLines="0"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6384" width="8.875" style="305"/>
  </cols>
  <sheetData>
    <row r="2" spans="1:9" ht="15">
      <c r="A2" s="250" t="s">
        <v>139</v>
      </c>
      <c r="B2" s="250"/>
    </row>
    <row r="3" spans="1:9">
      <c r="A3" s="305" t="s">
        <v>147</v>
      </c>
    </row>
    <row r="4" spans="1:9">
      <c r="A4" s="305" t="s">
        <v>148</v>
      </c>
    </row>
    <row r="6" spans="1:9">
      <c r="A6" s="305" t="s">
        <v>125</v>
      </c>
    </row>
    <row r="7" spans="1:9">
      <c r="A7" s="305" t="s">
        <v>162</v>
      </c>
    </row>
    <row r="8" spans="1:9">
      <c r="A8" s="305" t="s">
        <v>161</v>
      </c>
    </row>
    <row r="10" spans="1:9" ht="14.25" customHeight="1">
      <c r="A10" s="306"/>
      <c r="B10" s="342" t="s">
        <v>89</v>
      </c>
      <c r="C10" s="308"/>
      <c r="D10" s="308"/>
      <c r="E10" s="308"/>
      <c r="F10" s="308"/>
      <c r="G10" s="308"/>
      <c r="H10" s="308"/>
      <c r="I10" s="309"/>
    </row>
    <row r="11" spans="1:9" ht="15">
      <c r="A11" s="311" t="s">
        <v>1</v>
      </c>
      <c r="B11" s="256">
        <v>0</v>
      </c>
      <c r="C11" s="257">
        <v>2.5000000000000001E-3</v>
      </c>
      <c r="D11" s="257">
        <v>5.0000000000000001E-3</v>
      </c>
      <c r="E11" s="257">
        <v>7.4999999999999997E-3</v>
      </c>
      <c r="F11" s="257">
        <v>0.01</v>
      </c>
      <c r="G11" s="257">
        <v>1.2500000000000001E-2</v>
      </c>
      <c r="H11" s="257">
        <v>1.4999999999999999E-2</v>
      </c>
      <c r="I11" s="258">
        <v>1.7500000000000002E-2</v>
      </c>
    </row>
    <row r="12" spans="1:9">
      <c r="A12" s="343">
        <v>1</v>
      </c>
      <c r="B12" s="313">
        <v>6.5967650038024281E-3</v>
      </c>
      <c r="C12" s="332">
        <v>9.0291340205460417E-3</v>
      </c>
      <c r="D12" s="332">
        <v>1.1461827903695244E-2</v>
      </c>
      <c r="E12" s="332">
        <v>1.389484330654174E-2</v>
      </c>
      <c r="F12" s="332">
        <v>1.632817686256044E-2</v>
      </c>
      <c r="G12" s="332">
        <v>1.8761825246729064E-2</v>
      </c>
      <c r="H12" s="332">
        <v>2.1195785175078228E-2</v>
      </c>
      <c r="I12" s="333">
        <v>2.3630053404062192E-2</v>
      </c>
    </row>
    <row r="13" spans="1:9">
      <c r="A13" s="312">
        <f t="shared" ref="A13:A36" si="0">A12+1</f>
        <v>2</v>
      </c>
      <c r="B13" s="313">
        <v>6.5967650038024281E-3</v>
      </c>
      <c r="C13" s="335">
        <v>9.0291340205460417E-3</v>
      </c>
      <c r="D13" s="335">
        <v>1.1461827903695244E-2</v>
      </c>
      <c r="E13" s="335">
        <v>1.389484330654174E-2</v>
      </c>
      <c r="F13" s="335">
        <v>1.632817686256044E-2</v>
      </c>
      <c r="G13" s="335">
        <v>1.8761825246729064E-2</v>
      </c>
      <c r="H13" s="335">
        <v>2.1195785175078228E-2</v>
      </c>
      <c r="I13" s="336">
        <v>2.3630053404062192E-2</v>
      </c>
    </row>
    <row r="14" spans="1:9">
      <c r="A14" s="312">
        <f t="shared" si="0"/>
        <v>3</v>
      </c>
      <c r="B14" s="313">
        <v>6.5967650038024281E-3</v>
      </c>
      <c r="C14" s="335">
        <v>9.0291340205460417E-3</v>
      </c>
      <c r="D14" s="335">
        <v>1.1461827903695244E-2</v>
      </c>
      <c r="E14" s="335">
        <v>1.389484330654174E-2</v>
      </c>
      <c r="F14" s="335">
        <v>1.632817686256044E-2</v>
      </c>
      <c r="G14" s="335">
        <v>1.8761825246729064E-2</v>
      </c>
      <c r="H14" s="335">
        <v>2.1195785175078228E-2</v>
      </c>
      <c r="I14" s="336">
        <v>2.3630053404062192E-2</v>
      </c>
    </row>
    <row r="15" spans="1:9">
      <c r="A15" s="312">
        <f t="shared" si="0"/>
        <v>4</v>
      </c>
      <c r="B15" s="313">
        <v>6.5967650038024281E-3</v>
      </c>
      <c r="C15" s="335">
        <v>9.0291340205460417E-3</v>
      </c>
      <c r="D15" s="335">
        <v>1.1461827903695244E-2</v>
      </c>
      <c r="E15" s="335">
        <v>1.389484330654174E-2</v>
      </c>
      <c r="F15" s="335">
        <v>1.632817686256044E-2</v>
      </c>
      <c r="G15" s="335">
        <v>1.8761825246729064E-2</v>
      </c>
      <c r="H15" s="335">
        <v>2.1195785175078228E-2</v>
      </c>
      <c r="I15" s="336">
        <v>2.3630053404062192E-2</v>
      </c>
    </row>
    <row r="16" spans="1:9">
      <c r="A16" s="312">
        <f t="shared" si="0"/>
        <v>5</v>
      </c>
      <c r="B16" s="313">
        <v>6.5967650038024281E-3</v>
      </c>
      <c r="C16" s="335">
        <v>9.0291340205460417E-3</v>
      </c>
      <c r="D16" s="335">
        <v>1.1461827903695244E-2</v>
      </c>
      <c r="E16" s="335">
        <v>1.389484330654174E-2</v>
      </c>
      <c r="F16" s="335">
        <v>1.632817686256044E-2</v>
      </c>
      <c r="G16" s="335">
        <v>1.8761825246729064E-2</v>
      </c>
      <c r="H16" s="335">
        <v>2.1195785175078228E-2</v>
      </c>
      <c r="I16" s="336">
        <v>2.3630053404062192E-2</v>
      </c>
    </row>
    <row r="17" spans="1:9">
      <c r="A17" s="312">
        <f t="shared" si="0"/>
        <v>6</v>
      </c>
      <c r="B17" s="313">
        <v>6.5967650038024281E-3</v>
      </c>
      <c r="C17" s="335">
        <v>9.0291340205460417E-3</v>
      </c>
      <c r="D17" s="335">
        <v>1.1461827903695244E-2</v>
      </c>
      <c r="E17" s="335">
        <v>1.389484330654174E-2</v>
      </c>
      <c r="F17" s="335">
        <v>1.632817686256044E-2</v>
      </c>
      <c r="G17" s="335">
        <v>1.8761825246729064E-2</v>
      </c>
      <c r="H17" s="335">
        <v>2.1195785175078228E-2</v>
      </c>
      <c r="I17" s="336">
        <v>2.3630053404062192E-2</v>
      </c>
    </row>
    <row r="18" spans="1:9">
      <c r="A18" s="312">
        <f t="shared" si="0"/>
        <v>7</v>
      </c>
      <c r="B18" s="313">
        <v>6.5967650038024281E-3</v>
      </c>
      <c r="C18" s="335">
        <v>9.0291340205460417E-3</v>
      </c>
      <c r="D18" s="335">
        <v>1.1461827903695244E-2</v>
      </c>
      <c r="E18" s="335">
        <v>1.389484330654174E-2</v>
      </c>
      <c r="F18" s="335">
        <v>1.632817686256044E-2</v>
      </c>
      <c r="G18" s="335">
        <v>1.8761825246729064E-2</v>
      </c>
      <c r="H18" s="335">
        <v>2.1195785175078228E-2</v>
      </c>
      <c r="I18" s="336">
        <v>2.3630053404062192E-2</v>
      </c>
    </row>
    <row r="19" spans="1:9">
      <c r="A19" s="312">
        <f t="shared" si="0"/>
        <v>8</v>
      </c>
      <c r="B19" s="313">
        <v>6.5967650038024281E-3</v>
      </c>
      <c r="C19" s="335">
        <v>9.0291340205460417E-3</v>
      </c>
      <c r="D19" s="335">
        <v>1.1461827903695244E-2</v>
      </c>
      <c r="E19" s="335">
        <v>1.389484330654174E-2</v>
      </c>
      <c r="F19" s="335">
        <v>1.632817686256044E-2</v>
      </c>
      <c r="G19" s="335">
        <v>1.8761825246729064E-2</v>
      </c>
      <c r="H19" s="335">
        <v>2.1195785175078228E-2</v>
      </c>
      <c r="I19" s="336">
        <v>2.3630053404062192E-2</v>
      </c>
    </row>
    <row r="20" spans="1:9">
      <c r="A20" s="312">
        <f t="shared" si="0"/>
        <v>9</v>
      </c>
      <c r="B20" s="313">
        <v>6.5967650038024281E-3</v>
      </c>
      <c r="C20" s="335">
        <v>9.0291340205460417E-3</v>
      </c>
      <c r="D20" s="335">
        <v>1.1461827903695244E-2</v>
      </c>
      <c r="E20" s="335">
        <v>1.389484330654174E-2</v>
      </c>
      <c r="F20" s="335">
        <v>1.632817686256044E-2</v>
      </c>
      <c r="G20" s="335">
        <v>1.8761825246729064E-2</v>
      </c>
      <c r="H20" s="335">
        <v>2.1195785175078228E-2</v>
      </c>
      <c r="I20" s="336">
        <v>2.3630053404062192E-2</v>
      </c>
    </row>
    <row r="21" spans="1:9">
      <c r="A21" s="312">
        <f t="shared" si="0"/>
        <v>10</v>
      </c>
      <c r="B21" s="313">
        <v>6.5967650038024281E-3</v>
      </c>
      <c r="C21" s="335">
        <v>9.0291340205460417E-3</v>
      </c>
      <c r="D21" s="335">
        <v>1.1461827903695244E-2</v>
      </c>
      <c r="E21" s="335">
        <v>1.389484330654174E-2</v>
      </c>
      <c r="F21" s="335">
        <v>1.632817686256044E-2</v>
      </c>
      <c r="G21" s="335">
        <v>1.8761825246729064E-2</v>
      </c>
      <c r="H21" s="335">
        <v>2.1195785175078228E-2</v>
      </c>
      <c r="I21" s="336">
        <v>2.3630053404062192E-2</v>
      </c>
    </row>
    <row r="22" spans="1:9">
      <c r="A22" s="312">
        <f t="shared" si="0"/>
        <v>11</v>
      </c>
      <c r="B22" s="313">
        <v>6.5967650038024281E-3</v>
      </c>
      <c r="C22" s="335">
        <v>9.0291340205460417E-3</v>
      </c>
      <c r="D22" s="335">
        <v>1.1461827903695244E-2</v>
      </c>
      <c r="E22" s="335">
        <v>1.389484330654174E-2</v>
      </c>
      <c r="F22" s="335">
        <v>1.632817686256044E-2</v>
      </c>
      <c r="G22" s="335">
        <v>1.8761825246729064E-2</v>
      </c>
      <c r="H22" s="335">
        <v>2.1195785175078228E-2</v>
      </c>
      <c r="I22" s="336">
        <v>2.3630053404062192E-2</v>
      </c>
    </row>
    <row r="23" spans="1:9">
      <c r="A23" s="312">
        <f t="shared" si="0"/>
        <v>12</v>
      </c>
      <c r="B23" s="313">
        <v>6.5967650038024281E-3</v>
      </c>
      <c r="C23" s="335">
        <v>9.0291340205460417E-3</v>
      </c>
      <c r="D23" s="335">
        <v>1.1461827903695244E-2</v>
      </c>
      <c r="E23" s="335">
        <v>1.389484330654174E-2</v>
      </c>
      <c r="F23" s="335">
        <v>1.632817686256044E-2</v>
      </c>
      <c r="G23" s="335">
        <v>1.8761825246729064E-2</v>
      </c>
      <c r="H23" s="335">
        <v>2.1195785175078228E-2</v>
      </c>
      <c r="I23" s="336">
        <v>2.3630053404062192E-2</v>
      </c>
    </row>
    <row r="24" spans="1:9">
      <c r="A24" s="312">
        <f t="shared" si="0"/>
        <v>13</v>
      </c>
      <c r="B24" s="313">
        <v>6.5967650038024281E-3</v>
      </c>
      <c r="C24" s="335">
        <v>9.0291340205460417E-3</v>
      </c>
      <c r="D24" s="335">
        <v>1.1461827903695244E-2</v>
      </c>
      <c r="E24" s="335">
        <v>1.389484330654174E-2</v>
      </c>
      <c r="F24" s="335">
        <v>1.632817686256044E-2</v>
      </c>
      <c r="G24" s="335">
        <v>1.8761825246729064E-2</v>
      </c>
      <c r="H24" s="335">
        <v>2.1195785175078228E-2</v>
      </c>
      <c r="I24" s="336">
        <v>2.3630053404062192E-2</v>
      </c>
    </row>
    <row r="25" spans="1:9">
      <c r="A25" s="312">
        <f t="shared" si="0"/>
        <v>14</v>
      </c>
      <c r="B25" s="313">
        <v>6.5967650038024281E-3</v>
      </c>
      <c r="C25" s="335">
        <v>9.0291340205460417E-3</v>
      </c>
      <c r="D25" s="335">
        <v>1.1461827903695244E-2</v>
      </c>
      <c r="E25" s="335">
        <v>1.389484330654174E-2</v>
      </c>
      <c r="F25" s="335">
        <v>1.632817686256044E-2</v>
      </c>
      <c r="G25" s="335">
        <v>1.8761825246729064E-2</v>
      </c>
      <c r="H25" s="335">
        <v>2.1195785175078228E-2</v>
      </c>
      <c r="I25" s="336">
        <v>2.3630053404062192E-2</v>
      </c>
    </row>
    <row r="26" spans="1:9">
      <c r="A26" s="312">
        <f t="shared" si="0"/>
        <v>15</v>
      </c>
      <c r="B26" s="313">
        <v>6.5967650038024281E-3</v>
      </c>
      <c r="C26" s="335">
        <v>9.0291340205460417E-3</v>
      </c>
      <c r="D26" s="335">
        <v>1.1461827903695244E-2</v>
      </c>
      <c r="E26" s="335">
        <v>1.389484330654174E-2</v>
      </c>
      <c r="F26" s="335">
        <v>1.632817686256044E-2</v>
      </c>
      <c r="G26" s="335">
        <v>1.8761825246729064E-2</v>
      </c>
      <c r="H26" s="335">
        <v>2.1195785175078228E-2</v>
      </c>
      <c r="I26" s="336">
        <v>2.3630053404062192E-2</v>
      </c>
    </row>
    <row r="27" spans="1:9">
      <c r="A27" s="312">
        <f t="shared" si="0"/>
        <v>16</v>
      </c>
      <c r="B27" s="313">
        <v>6.5967650038024281E-3</v>
      </c>
      <c r="C27" s="335">
        <v>9.0291340205460417E-3</v>
      </c>
      <c r="D27" s="335">
        <v>1.1461827903695244E-2</v>
      </c>
      <c r="E27" s="335">
        <v>1.389484330654174E-2</v>
      </c>
      <c r="F27" s="335">
        <v>1.632817686256044E-2</v>
      </c>
      <c r="G27" s="335">
        <v>1.8761825246729064E-2</v>
      </c>
      <c r="H27" s="335">
        <v>2.1195785175078228E-2</v>
      </c>
      <c r="I27" s="336">
        <v>2.3630053404062192E-2</v>
      </c>
    </row>
    <row r="28" spans="1:9">
      <c r="A28" s="312">
        <f t="shared" si="0"/>
        <v>17</v>
      </c>
      <c r="B28" s="313">
        <v>6.5967650038024281E-3</v>
      </c>
      <c r="C28" s="335">
        <v>9.0291340205460417E-3</v>
      </c>
      <c r="D28" s="335">
        <v>1.1461827903695244E-2</v>
      </c>
      <c r="E28" s="335">
        <v>1.389484330654174E-2</v>
      </c>
      <c r="F28" s="335">
        <v>1.632817686256044E-2</v>
      </c>
      <c r="G28" s="335">
        <v>1.8761825246729064E-2</v>
      </c>
      <c r="H28" s="335">
        <v>2.1195785175078228E-2</v>
      </c>
      <c r="I28" s="336">
        <v>2.3630053404062192E-2</v>
      </c>
    </row>
    <row r="29" spans="1:9">
      <c r="A29" s="312">
        <f t="shared" si="0"/>
        <v>18</v>
      </c>
      <c r="B29" s="313">
        <v>6.5967650038024281E-3</v>
      </c>
      <c r="C29" s="335">
        <v>9.0291340205460417E-3</v>
      </c>
      <c r="D29" s="335">
        <v>1.1461827903695244E-2</v>
      </c>
      <c r="E29" s="335">
        <v>1.389484330654174E-2</v>
      </c>
      <c r="F29" s="335">
        <v>1.632817686256044E-2</v>
      </c>
      <c r="G29" s="335">
        <v>1.8761825246729064E-2</v>
      </c>
      <c r="H29" s="335">
        <v>2.1195785175078228E-2</v>
      </c>
      <c r="I29" s="336">
        <v>2.3630053404062192E-2</v>
      </c>
    </row>
    <row r="30" spans="1:9">
      <c r="A30" s="312">
        <f t="shared" si="0"/>
        <v>19</v>
      </c>
      <c r="B30" s="313">
        <v>6.5967650038024281E-3</v>
      </c>
      <c r="C30" s="335">
        <v>9.0291340205460417E-3</v>
      </c>
      <c r="D30" s="335">
        <v>1.1461827903695244E-2</v>
      </c>
      <c r="E30" s="335">
        <v>1.389484330654174E-2</v>
      </c>
      <c r="F30" s="335">
        <v>1.632817686256044E-2</v>
      </c>
      <c r="G30" s="335">
        <v>1.8761825246729064E-2</v>
      </c>
      <c r="H30" s="335">
        <v>2.1195785175078228E-2</v>
      </c>
      <c r="I30" s="336">
        <v>2.3630053404062192E-2</v>
      </c>
    </row>
    <row r="31" spans="1:9">
      <c r="A31" s="312">
        <f t="shared" si="0"/>
        <v>20</v>
      </c>
      <c r="B31" s="313">
        <v>6.5967650038024281E-3</v>
      </c>
      <c r="C31" s="335">
        <v>9.0291340205460417E-3</v>
      </c>
      <c r="D31" s="335">
        <v>1.1461827903695244E-2</v>
      </c>
      <c r="E31" s="335">
        <v>1.389484330654174E-2</v>
      </c>
      <c r="F31" s="335">
        <v>1.632817686256044E-2</v>
      </c>
      <c r="G31" s="335">
        <v>1.8761825246729064E-2</v>
      </c>
      <c r="H31" s="335">
        <v>2.1195785175078228E-2</v>
      </c>
      <c r="I31" s="336">
        <v>2.3630053404062192E-2</v>
      </c>
    </row>
    <row r="32" spans="1:9">
      <c r="A32" s="312">
        <f t="shared" si="0"/>
        <v>21</v>
      </c>
      <c r="B32" s="313">
        <v>6.5967650038024281E-3</v>
      </c>
      <c r="C32" s="335">
        <v>9.0291340205460417E-3</v>
      </c>
      <c r="D32" s="335">
        <v>1.1461827903695244E-2</v>
      </c>
      <c r="E32" s="335">
        <v>1.389484330654174E-2</v>
      </c>
      <c r="F32" s="335">
        <v>1.632817686256044E-2</v>
      </c>
      <c r="G32" s="335">
        <v>1.8761825246729064E-2</v>
      </c>
      <c r="H32" s="335">
        <v>2.1195785175078228E-2</v>
      </c>
      <c r="I32" s="336">
        <v>2.3630053404062192E-2</v>
      </c>
    </row>
    <row r="33" spans="1:9">
      <c r="A33" s="312">
        <f t="shared" si="0"/>
        <v>22</v>
      </c>
      <c r="B33" s="313">
        <v>6.5967650038024281E-3</v>
      </c>
      <c r="C33" s="318">
        <v>9.0291340205460417E-3</v>
      </c>
      <c r="D33" s="318">
        <v>1.1461827903695244E-2</v>
      </c>
      <c r="E33" s="318">
        <v>1.389484330654174E-2</v>
      </c>
      <c r="F33" s="318">
        <v>1.632817686256044E-2</v>
      </c>
      <c r="G33" s="318">
        <v>1.8761825246729064E-2</v>
      </c>
      <c r="H33" s="318">
        <v>2.1195785175078228E-2</v>
      </c>
      <c r="I33" s="319">
        <v>2.3630053404062192E-2</v>
      </c>
    </row>
    <row r="34" spans="1:9">
      <c r="A34" s="312">
        <f t="shared" si="0"/>
        <v>23</v>
      </c>
      <c r="B34" s="313">
        <v>6.5967650038024281E-3</v>
      </c>
      <c r="C34" s="318">
        <v>9.0291340205460417E-3</v>
      </c>
      <c r="D34" s="318">
        <v>1.1461827903695244E-2</v>
      </c>
      <c r="E34" s="318">
        <v>1.389484330654174E-2</v>
      </c>
      <c r="F34" s="318">
        <v>1.632817686256044E-2</v>
      </c>
      <c r="G34" s="318">
        <v>1.8761825246729064E-2</v>
      </c>
      <c r="H34" s="318">
        <v>2.1195785175078228E-2</v>
      </c>
      <c r="I34" s="319">
        <v>2.3630053404062192E-2</v>
      </c>
    </row>
    <row r="35" spans="1:9">
      <c r="A35" s="312">
        <f t="shared" si="0"/>
        <v>24</v>
      </c>
      <c r="B35" s="313">
        <v>6.5967650038024281E-3</v>
      </c>
      <c r="C35" s="318">
        <v>9.0291340205460417E-3</v>
      </c>
      <c r="D35" s="318">
        <v>1.1461827903695244E-2</v>
      </c>
      <c r="E35" s="318">
        <v>1.389484330654174E-2</v>
      </c>
      <c r="F35" s="318">
        <v>1.632817686256044E-2</v>
      </c>
      <c r="G35" s="318">
        <v>1.8761825246729064E-2</v>
      </c>
      <c r="H35" s="318">
        <v>2.1195785175078228E-2</v>
      </c>
      <c r="I35" s="319">
        <v>2.3630053404062192E-2</v>
      </c>
    </row>
    <row r="36" spans="1:9">
      <c r="A36" s="320">
        <f t="shared" si="0"/>
        <v>25</v>
      </c>
      <c r="B36" s="321">
        <v>6.5967650038024281E-3</v>
      </c>
      <c r="C36" s="322">
        <v>9.0291340205460417E-3</v>
      </c>
      <c r="D36" s="322">
        <v>1.1461827903695244E-2</v>
      </c>
      <c r="E36" s="322">
        <v>1.389484330654174E-2</v>
      </c>
      <c r="F36" s="322">
        <v>1.632817686256044E-2</v>
      </c>
      <c r="G36" s="322">
        <v>1.8761825246729064E-2</v>
      </c>
      <c r="H36" s="322">
        <v>2.1195785175078228E-2</v>
      </c>
      <c r="I36" s="323">
        <v>2.3630053404062192E-2</v>
      </c>
    </row>
    <row r="38" spans="1:9">
      <c r="A38" s="324" t="s">
        <v>157</v>
      </c>
    </row>
    <row r="39" spans="1:9">
      <c r="A39" s="305" t="s">
        <v>155</v>
      </c>
    </row>
    <row r="40" spans="1:9">
      <c r="A40" s="305" t="s">
        <v>160</v>
      </c>
    </row>
    <row r="42" spans="1:9">
      <c r="A42" s="324" t="s">
        <v>158</v>
      </c>
    </row>
    <row r="43" spans="1:9">
      <c r="A43" s="305" t="s">
        <v>159</v>
      </c>
    </row>
    <row r="61" spans="23:52">
      <c r="W61" s="305">
        <f>V52+1</f>
        <v>1</v>
      </c>
      <c r="X61" s="305">
        <f>W61+1</f>
        <v>2</v>
      </c>
      <c r="Y61" s="305">
        <f>X61+1</f>
        <v>3</v>
      </c>
      <c r="Z61" s="305">
        <f>Y61+1</f>
        <v>4</v>
      </c>
      <c r="AA61" s="305">
        <f>Z61+1</f>
        <v>5</v>
      </c>
      <c r="AB61" s="305">
        <f>AA61+1</f>
        <v>6</v>
      </c>
    </row>
    <row r="62" spans="23:52">
      <c r="AC62" s="305">
        <f>AB61+1</f>
        <v>7</v>
      </c>
      <c r="AD62" s="305">
        <f t="shared" ref="AD62:AZ62" si="1">AC62+1</f>
        <v>8</v>
      </c>
      <c r="AE62" s="305">
        <f t="shared" si="1"/>
        <v>9</v>
      </c>
      <c r="AF62" s="305">
        <f t="shared" si="1"/>
        <v>10</v>
      </c>
      <c r="AG62" s="305">
        <f t="shared" si="1"/>
        <v>11</v>
      </c>
      <c r="AH62" s="305">
        <f t="shared" si="1"/>
        <v>12</v>
      </c>
      <c r="AI62" s="305">
        <f t="shared" si="1"/>
        <v>13</v>
      </c>
      <c r="AJ62" s="305">
        <f t="shared" si="1"/>
        <v>14</v>
      </c>
      <c r="AK62" s="305">
        <f t="shared" si="1"/>
        <v>15</v>
      </c>
      <c r="AL62" s="305">
        <f t="shared" si="1"/>
        <v>16</v>
      </c>
      <c r="AM62" s="305">
        <f t="shared" si="1"/>
        <v>17</v>
      </c>
      <c r="AN62" s="305">
        <f t="shared" si="1"/>
        <v>18</v>
      </c>
      <c r="AO62" s="305">
        <f t="shared" si="1"/>
        <v>19</v>
      </c>
      <c r="AP62" s="305">
        <f t="shared" si="1"/>
        <v>20</v>
      </c>
      <c r="AQ62" s="305">
        <f t="shared" si="1"/>
        <v>21</v>
      </c>
      <c r="AR62" s="305">
        <f t="shared" si="1"/>
        <v>22</v>
      </c>
      <c r="AS62" s="305">
        <f t="shared" si="1"/>
        <v>23</v>
      </c>
      <c r="AT62" s="305">
        <f t="shared" si="1"/>
        <v>24</v>
      </c>
      <c r="AU62" s="305">
        <f t="shared" si="1"/>
        <v>25</v>
      </c>
      <c r="AV62" s="305">
        <f t="shared" si="1"/>
        <v>26</v>
      </c>
      <c r="AW62" s="305">
        <f t="shared" si="1"/>
        <v>27</v>
      </c>
      <c r="AX62" s="305">
        <f t="shared" si="1"/>
        <v>28</v>
      </c>
      <c r="AY62" s="305">
        <f t="shared" si="1"/>
        <v>29</v>
      </c>
      <c r="AZ62" s="305">
        <f t="shared" si="1"/>
        <v>30</v>
      </c>
    </row>
  </sheetData>
  <mergeCells count="1">
    <mergeCell ref="B10:I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45142-29C4-4BBB-8EAD-8CB5CA91F3BD}">
  <sheetPr>
    <tabColor rgb="FF00B050"/>
  </sheetPr>
  <dimension ref="A2:M34"/>
  <sheetViews>
    <sheetView workbookViewId="0">
      <selection sqref="A1:XFD1048576"/>
    </sheetView>
  </sheetViews>
  <sheetFormatPr defaultColWidth="8.875" defaultRowHeight="14.25"/>
  <cols>
    <col min="1" max="2" width="11.25" style="305" customWidth="1"/>
    <col min="3" max="3" width="6.125" style="305" customWidth="1"/>
    <col min="4" max="10" width="11.25" style="305" customWidth="1"/>
    <col min="11" max="12" width="12" style="305" customWidth="1"/>
    <col min="13" max="13" width="13.75" style="305" bestFit="1" customWidth="1"/>
    <col min="14" max="14" width="21.375" style="305" bestFit="1" customWidth="1"/>
    <col min="15" max="19" width="12" style="305" customWidth="1"/>
    <col min="20" max="16384" width="8.875" style="305"/>
  </cols>
  <sheetData>
    <row r="2" spans="1:13" ht="15">
      <c r="A2" s="250" t="s">
        <v>140</v>
      </c>
      <c r="B2" s="250"/>
      <c r="C2" s="250"/>
    </row>
    <row r="3" spans="1:13">
      <c r="A3" s="305" t="s">
        <v>149</v>
      </c>
    </row>
    <row r="4" spans="1:13">
      <c r="A4" s="305" t="s">
        <v>150</v>
      </c>
    </row>
    <row r="6" spans="1:13">
      <c r="A6" s="305" t="s">
        <v>124</v>
      </c>
    </row>
    <row r="8" spans="1:13" ht="14.25" customHeight="1">
      <c r="A8" s="306"/>
      <c r="B8" s="307" t="s">
        <v>89</v>
      </c>
      <c r="C8" s="308"/>
      <c r="D8" s="308"/>
      <c r="E8" s="308"/>
      <c r="F8" s="308"/>
      <c r="G8" s="308"/>
      <c r="H8" s="308"/>
      <c r="I8" s="308"/>
      <c r="J8" s="309"/>
    </row>
    <row r="9" spans="1:13" ht="15">
      <c r="A9" s="311" t="s">
        <v>1</v>
      </c>
      <c r="B9" s="256">
        <v>0</v>
      </c>
      <c r="C9" s="344"/>
      <c r="D9" s="257">
        <v>7.4999999999999997E-3</v>
      </c>
      <c r="E9" s="257">
        <v>0.01</v>
      </c>
      <c r="F9" s="257">
        <v>1.2500000000000001E-2</v>
      </c>
      <c r="G9" s="257">
        <v>1.4999999999999999E-2</v>
      </c>
      <c r="H9" s="257">
        <v>1.7500000000000002E-2</v>
      </c>
      <c r="I9" s="257">
        <v>0.02</v>
      </c>
      <c r="J9" s="258">
        <v>2.2499999999999999E-2</v>
      </c>
      <c r="L9" s="310" t="s">
        <v>152</v>
      </c>
    </row>
    <row r="10" spans="1:13">
      <c r="A10" s="312">
        <v>1</v>
      </c>
      <c r="B10" s="313">
        <v>3.0000000000000001E-3</v>
      </c>
      <c r="C10" s="345"/>
      <c r="D10" s="318">
        <v>1.0499999999999999E-2</v>
      </c>
      <c r="E10" s="318">
        <v>1.3000000000000001E-2</v>
      </c>
      <c r="F10" s="318">
        <v>1.55E-2</v>
      </c>
      <c r="G10" s="318">
        <v>1.7999999999999999E-2</v>
      </c>
      <c r="H10" s="318">
        <v>2.0500000000000001E-2</v>
      </c>
      <c r="I10" s="318">
        <v>2.3E-2</v>
      </c>
      <c r="J10" s="319">
        <v>2.5499999999999998E-2</v>
      </c>
      <c r="L10" s="316">
        <v>1</v>
      </c>
      <c r="M10" s="317"/>
    </row>
    <row r="11" spans="1:13">
      <c r="A11" s="312">
        <f>A10+1</f>
        <v>2</v>
      </c>
      <c r="B11" s="313">
        <v>3.0000000000000001E-3</v>
      </c>
      <c r="C11" s="345"/>
      <c r="D11" s="318">
        <v>1.0499999999999999E-2</v>
      </c>
      <c r="E11" s="318">
        <v>1.3000000000000001E-2</v>
      </c>
      <c r="F11" s="318">
        <v>1.55E-2</v>
      </c>
      <c r="G11" s="318">
        <v>1.7999999999999999E-2</v>
      </c>
      <c r="H11" s="318">
        <v>2.0500000000000001E-2</v>
      </c>
      <c r="I11" s="318">
        <v>2.3E-2</v>
      </c>
      <c r="J11" s="319">
        <v>2.5499999999999998E-2</v>
      </c>
      <c r="L11" s="316">
        <v>1</v>
      </c>
      <c r="M11" s="317"/>
    </row>
    <row r="12" spans="1:13">
      <c r="A12" s="312">
        <f t="shared" ref="A12:A23" si="0">A11+1</f>
        <v>3</v>
      </c>
      <c r="B12" s="313">
        <v>3.0000000000000001E-3</v>
      </c>
      <c r="C12" s="345"/>
      <c r="D12" s="318">
        <v>1.0499999999999999E-2</v>
      </c>
      <c r="E12" s="318">
        <v>1.3000000000000001E-2</v>
      </c>
      <c r="F12" s="318">
        <v>1.55E-2</v>
      </c>
      <c r="G12" s="318">
        <v>1.7999999999999999E-2</v>
      </c>
      <c r="H12" s="318">
        <v>2.0500000000000001E-2</v>
      </c>
      <c r="I12" s="318">
        <v>2.3E-2</v>
      </c>
      <c r="J12" s="319">
        <v>2.5499999999999998E-2</v>
      </c>
      <c r="L12" s="316">
        <v>1</v>
      </c>
      <c r="M12" s="317"/>
    </row>
    <row r="13" spans="1:13">
      <c r="A13" s="312">
        <f t="shared" si="0"/>
        <v>4</v>
      </c>
      <c r="B13" s="313">
        <v>3.0000000000000001E-3</v>
      </c>
      <c r="C13" s="345"/>
      <c r="D13" s="318">
        <v>1.0499999999999999E-2</v>
      </c>
      <c r="E13" s="318">
        <v>1.3000000000000001E-2</v>
      </c>
      <c r="F13" s="318">
        <v>1.55E-2</v>
      </c>
      <c r="G13" s="318">
        <v>1.7999999999999999E-2</v>
      </c>
      <c r="H13" s="318">
        <v>2.0500000000000001E-2</v>
      </c>
      <c r="I13" s="318">
        <v>2.3E-2</v>
      </c>
      <c r="J13" s="319">
        <v>2.5499999999999998E-2</v>
      </c>
      <c r="L13" s="316">
        <v>1</v>
      </c>
      <c r="M13" s="317"/>
    </row>
    <row r="14" spans="1:13">
      <c r="A14" s="312">
        <f t="shared" si="0"/>
        <v>5</v>
      </c>
      <c r="B14" s="313">
        <v>1.6722560770082533E-2</v>
      </c>
      <c r="C14" s="345"/>
      <c r="D14" s="318">
        <v>2.0992654036859119E-2</v>
      </c>
      <c r="E14" s="318">
        <v>2.2441650473072249E-2</v>
      </c>
      <c r="F14" s="318">
        <v>2.3902839155730271E-2</v>
      </c>
      <c r="G14" s="318">
        <v>2.5375868597092038E-2</v>
      </c>
      <c r="H14" s="318">
        <v>2.6860401412399697E-2</v>
      </c>
      <c r="I14" s="318">
        <v>2.8356113573596867E-2</v>
      </c>
      <c r="J14" s="319">
        <v>2.9862693765834461E-2</v>
      </c>
      <c r="L14" s="316">
        <v>0.90000000000000013</v>
      </c>
      <c r="M14" s="317"/>
    </row>
    <row r="15" spans="1:13">
      <c r="A15" s="312">
        <f t="shared" si="0"/>
        <v>6</v>
      </c>
      <c r="B15" s="313">
        <v>1.6722560770082533E-2</v>
      </c>
      <c r="C15" s="345"/>
      <c r="D15" s="318">
        <v>2.0992654036859119E-2</v>
      </c>
      <c r="E15" s="318">
        <v>2.2441650473072249E-2</v>
      </c>
      <c r="F15" s="318">
        <v>2.3902839155730271E-2</v>
      </c>
      <c r="G15" s="318">
        <v>2.5375868597092038E-2</v>
      </c>
      <c r="H15" s="318">
        <v>2.6860401412399697E-2</v>
      </c>
      <c r="I15" s="318">
        <v>2.8356113573596867E-2</v>
      </c>
      <c r="J15" s="319">
        <v>2.9862693765834461E-2</v>
      </c>
      <c r="L15" s="316">
        <v>0.90000000000000013</v>
      </c>
      <c r="M15" s="317"/>
    </row>
    <row r="16" spans="1:13">
      <c r="A16" s="312">
        <f t="shared" si="0"/>
        <v>7</v>
      </c>
      <c r="B16" s="313">
        <v>1.4841272683448247E-2</v>
      </c>
      <c r="C16" s="345"/>
      <c r="D16" s="318">
        <v>1.8630980457712464E-2</v>
      </c>
      <c r="E16" s="318">
        <v>1.9916964794851624E-2</v>
      </c>
      <c r="F16" s="318">
        <v>2.1213769750710616E-2</v>
      </c>
      <c r="G16" s="318">
        <v>2.2521083379919184E-2</v>
      </c>
      <c r="H16" s="318">
        <v>2.3838606253504729E-2</v>
      </c>
      <c r="I16" s="318">
        <v>2.5166050796567217E-2</v>
      </c>
      <c r="J16" s="319">
        <v>2.6503140717178082E-2</v>
      </c>
      <c r="L16" s="316">
        <v>0.79875000000000018</v>
      </c>
      <c r="M16" s="317"/>
    </row>
    <row r="17" spans="1:13">
      <c r="A17" s="312">
        <f t="shared" si="0"/>
        <v>8</v>
      </c>
      <c r="B17" s="313">
        <v>1.0660632490927614E-2</v>
      </c>
      <c r="C17" s="345"/>
      <c r="D17" s="318">
        <v>1.3382816948497687E-2</v>
      </c>
      <c r="E17" s="318">
        <v>1.430655217658356E-2</v>
      </c>
      <c r="F17" s="318">
        <v>1.5238059961778048E-2</v>
      </c>
      <c r="G17" s="318">
        <v>1.6177116230646174E-2</v>
      </c>
      <c r="H17" s="318">
        <v>1.7123505900404807E-2</v>
      </c>
      <c r="I17" s="318">
        <v>1.8077022403168004E-2</v>
      </c>
      <c r="J17" s="319">
        <v>1.903746727571947E-2</v>
      </c>
      <c r="L17" s="316">
        <v>0.57375000000000009</v>
      </c>
      <c r="M17" s="317"/>
    </row>
    <row r="18" spans="1:13">
      <c r="A18" s="312">
        <f t="shared" si="0"/>
        <v>9</v>
      </c>
      <c r="B18" s="313">
        <v>6.0619282791549182E-3</v>
      </c>
      <c r="C18" s="345"/>
      <c r="D18" s="318">
        <v>7.6098370883614305E-3</v>
      </c>
      <c r="E18" s="318">
        <v>8.1350982964886916E-3</v>
      </c>
      <c r="F18" s="318">
        <v>8.6647791939522233E-3</v>
      </c>
      <c r="G18" s="318">
        <v>9.1987523664458642E-3</v>
      </c>
      <c r="H18" s="318">
        <v>9.7368955119948898E-3</v>
      </c>
      <c r="I18" s="318">
        <v>1.0279091170428866E-2</v>
      </c>
      <c r="J18" s="319">
        <v>1.0825226490114991E-2</v>
      </c>
      <c r="L18" s="316">
        <v>0.32625000000000004</v>
      </c>
      <c r="M18" s="317"/>
    </row>
    <row r="19" spans="1:13">
      <c r="A19" s="312">
        <f t="shared" si="0"/>
        <v>10</v>
      </c>
      <c r="B19" s="313">
        <v>1.8812880866342844E-3</v>
      </c>
      <c r="C19" s="345"/>
      <c r="D19" s="318">
        <v>2.3616735791466507E-3</v>
      </c>
      <c r="E19" s="318">
        <v>2.5246856782206277E-3</v>
      </c>
      <c r="F19" s="318">
        <v>2.6890694050196555E-3</v>
      </c>
      <c r="G19" s="318">
        <v>2.8547852171728542E-3</v>
      </c>
      <c r="H19" s="318">
        <v>3.0217951588949656E-3</v>
      </c>
      <c r="I19" s="318">
        <v>3.1900627770296477E-3</v>
      </c>
      <c r="J19" s="319">
        <v>3.3595530486563766E-3</v>
      </c>
      <c r="L19" s="316">
        <v>0.10125000000000002</v>
      </c>
      <c r="M19" s="317"/>
    </row>
    <row r="20" spans="1:13">
      <c r="A20" s="312">
        <f t="shared" si="0"/>
        <v>11</v>
      </c>
      <c r="B20" s="313">
        <v>2.4300000000000005E-4</v>
      </c>
      <c r="C20" s="345"/>
      <c r="D20" s="318">
        <v>8.5050000000000013E-4</v>
      </c>
      <c r="E20" s="318">
        <v>1.0530000000000001E-3</v>
      </c>
      <c r="F20" s="318">
        <v>1.2555000000000001E-3</v>
      </c>
      <c r="G20" s="318">
        <v>1.4580000000000001E-3</v>
      </c>
      <c r="H20" s="318">
        <v>1.6605000000000005E-3</v>
      </c>
      <c r="I20" s="318">
        <v>1.8630000000000005E-3</v>
      </c>
      <c r="J20" s="319">
        <v>2.0655000000000005E-3</v>
      </c>
      <c r="L20" s="316">
        <v>8.1000000000000016E-2</v>
      </c>
      <c r="M20" s="317"/>
    </row>
    <row r="21" spans="1:13">
      <c r="A21" s="312">
        <f t="shared" si="0"/>
        <v>12</v>
      </c>
      <c r="B21" s="313">
        <v>1.9440000000000006E-4</v>
      </c>
      <c r="C21" s="345"/>
      <c r="D21" s="318">
        <v>6.8040000000000017E-4</v>
      </c>
      <c r="E21" s="318">
        <v>8.424000000000002E-4</v>
      </c>
      <c r="F21" s="318">
        <v>1.0044000000000003E-3</v>
      </c>
      <c r="G21" s="318">
        <v>1.1664000000000002E-3</v>
      </c>
      <c r="H21" s="318">
        <v>1.3284000000000004E-3</v>
      </c>
      <c r="I21" s="318">
        <v>1.4904000000000002E-3</v>
      </c>
      <c r="J21" s="319">
        <v>1.6524000000000005E-3</v>
      </c>
      <c r="L21" s="316">
        <v>6.480000000000001E-2</v>
      </c>
      <c r="M21" s="317"/>
    </row>
    <row r="22" spans="1:13">
      <c r="A22" s="312">
        <f t="shared" si="0"/>
        <v>13</v>
      </c>
      <c r="B22" s="313">
        <v>1.5552000000000006E-4</v>
      </c>
      <c r="C22" s="345"/>
      <c r="D22" s="318">
        <v>5.4432000000000016E-4</v>
      </c>
      <c r="E22" s="318">
        <v>6.7392000000000016E-4</v>
      </c>
      <c r="F22" s="318">
        <v>8.0352000000000017E-4</v>
      </c>
      <c r="G22" s="318">
        <v>9.3312000000000028E-4</v>
      </c>
      <c r="H22" s="318">
        <v>1.0627200000000003E-3</v>
      </c>
      <c r="I22" s="318">
        <v>1.1923200000000004E-3</v>
      </c>
      <c r="J22" s="319">
        <v>1.3219200000000005E-3</v>
      </c>
      <c r="L22" s="316">
        <v>5.1840000000000011E-2</v>
      </c>
      <c r="M22" s="317"/>
    </row>
    <row r="23" spans="1:13">
      <c r="A23" s="312">
        <f t="shared" si="0"/>
        <v>14</v>
      </c>
      <c r="B23" s="313">
        <v>1.2441600000000005E-4</v>
      </c>
      <c r="C23" s="345"/>
      <c r="D23" s="318">
        <v>4.3545600000000019E-4</v>
      </c>
      <c r="E23" s="318">
        <v>5.3913600000000017E-4</v>
      </c>
      <c r="F23" s="318">
        <v>6.4281600000000016E-4</v>
      </c>
      <c r="G23" s="318">
        <v>7.4649600000000025E-4</v>
      </c>
      <c r="H23" s="318">
        <v>8.5017600000000023E-4</v>
      </c>
      <c r="I23" s="318">
        <v>9.5385600000000032E-4</v>
      </c>
      <c r="J23" s="319">
        <v>1.0575360000000004E-3</v>
      </c>
      <c r="L23" s="316">
        <v>4.1472000000000016E-2</v>
      </c>
      <c r="M23" s="317"/>
    </row>
    <row r="24" spans="1:13">
      <c r="A24" s="320">
        <f>A23+1</f>
        <v>15</v>
      </c>
      <c r="B24" s="321">
        <v>9.9532800000000051E-5</v>
      </c>
      <c r="C24" s="346"/>
      <c r="D24" s="322">
        <v>3.4836480000000015E-4</v>
      </c>
      <c r="E24" s="322">
        <v>4.313088000000002E-4</v>
      </c>
      <c r="F24" s="322">
        <v>5.1425280000000025E-4</v>
      </c>
      <c r="G24" s="322">
        <v>5.971968000000002E-4</v>
      </c>
      <c r="H24" s="322">
        <v>6.8014080000000014E-4</v>
      </c>
      <c r="I24" s="322">
        <v>7.630848000000003E-4</v>
      </c>
      <c r="J24" s="323">
        <v>8.4602880000000046E-4</v>
      </c>
      <c r="L24" s="316">
        <v>3.3177600000000015E-2</v>
      </c>
      <c r="M24" s="317"/>
    </row>
    <row r="26" spans="1:13">
      <c r="A26" s="305" t="s">
        <v>154</v>
      </c>
    </row>
    <row r="27" spans="1:13">
      <c r="A27" s="305" t="s">
        <v>153</v>
      </c>
    </row>
    <row r="29" spans="1:13">
      <c r="A29" s="324" t="s">
        <v>157</v>
      </c>
    </row>
    <row r="30" spans="1:13">
      <c r="A30" s="305" t="s">
        <v>155</v>
      </c>
    </row>
    <row r="31" spans="1:13">
      <c r="A31" s="305" t="s">
        <v>160</v>
      </c>
    </row>
    <row r="33" spans="1:1">
      <c r="A33" s="324" t="s">
        <v>158</v>
      </c>
    </row>
    <row r="34" spans="1:1">
      <c r="A34" s="305" t="s">
        <v>159</v>
      </c>
    </row>
  </sheetData>
  <mergeCells count="1">
    <mergeCell ref="B8:J8"/>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62D75-0787-4239-8330-3B8B89B26F7C}">
  <sheetPr>
    <tabColor rgb="FF00B050"/>
  </sheetPr>
  <dimension ref="A2:R38"/>
  <sheetViews>
    <sheetView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9" width="12.125" style="305" bestFit="1" customWidth="1"/>
    <col min="20" max="16384" width="8.875" style="305"/>
  </cols>
  <sheetData>
    <row r="2" spans="1:12" ht="15">
      <c r="A2" s="250" t="s">
        <v>141</v>
      </c>
      <c r="B2" s="250"/>
    </row>
    <row r="3" spans="1:12">
      <c r="A3" s="305" t="s">
        <v>116</v>
      </c>
    </row>
    <row r="5" spans="1:12">
      <c r="A5" s="305" t="s">
        <v>124</v>
      </c>
    </row>
    <row r="7" spans="1:12" ht="14.25" customHeight="1">
      <c r="A7" s="306"/>
      <c r="B7" s="307" t="s">
        <v>89</v>
      </c>
      <c r="C7" s="308"/>
      <c r="D7" s="308"/>
      <c r="E7" s="308"/>
      <c r="F7" s="308"/>
      <c r="G7" s="308"/>
      <c r="H7" s="308"/>
      <c r="I7" s="309"/>
    </row>
    <row r="8" spans="1:12" ht="15">
      <c r="A8" s="311" t="s">
        <v>1</v>
      </c>
      <c r="B8" s="252">
        <v>0</v>
      </c>
      <c r="C8" s="251">
        <v>2.5000000000000001E-3</v>
      </c>
      <c r="D8" s="251">
        <v>5.0000000000000001E-3</v>
      </c>
      <c r="E8" s="251">
        <v>7.4999999999999997E-3</v>
      </c>
      <c r="F8" s="251">
        <v>0.01</v>
      </c>
      <c r="G8" s="251">
        <v>1.2500000000000001E-2</v>
      </c>
      <c r="H8" s="251">
        <v>1.4999999999999999E-2</v>
      </c>
      <c r="I8" s="255">
        <v>1.7500000000000002E-2</v>
      </c>
      <c r="K8" s="310" t="s">
        <v>152</v>
      </c>
    </row>
    <row r="9" spans="1:12">
      <c r="A9" s="343">
        <v>1</v>
      </c>
      <c r="B9" s="347">
        <v>2E-3</v>
      </c>
      <c r="C9" s="332">
        <v>4.5000000000000005E-3</v>
      </c>
      <c r="D9" s="332">
        <v>7.0000000000000001E-3</v>
      </c>
      <c r="E9" s="332">
        <v>9.4999999999999998E-3</v>
      </c>
      <c r="F9" s="332">
        <v>1.2E-2</v>
      </c>
      <c r="G9" s="332">
        <v>1.4500000000000001E-2</v>
      </c>
      <c r="H9" s="332">
        <v>1.7000000000000001E-2</v>
      </c>
      <c r="I9" s="333">
        <v>1.9500000000000003E-2</v>
      </c>
      <c r="K9" s="316">
        <v>1</v>
      </c>
      <c r="L9" s="317"/>
    </row>
    <row r="10" spans="1:12">
      <c r="A10" s="312">
        <f t="shared" ref="A10:A28" si="0">A9+1</f>
        <v>2</v>
      </c>
      <c r="B10" s="313">
        <v>2E-3</v>
      </c>
      <c r="C10" s="335">
        <v>4.5000000000000005E-3</v>
      </c>
      <c r="D10" s="335">
        <v>7.0000000000000001E-3</v>
      </c>
      <c r="E10" s="335">
        <v>9.4999999999999998E-3</v>
      </c>
      <c r="F10" s="335">
        <v>1.2E-2</v>
      </c>
      <c r="G10" s="335">
        <v>1.4500000000000001E-2</v>
      </c>
      <c r="H10" s="335">
        <v>1.7000000000000001E-2</v>
      </c>
      <c r="I10" s="336">
        <v>1.9500000000000003E-2</v>
      </c>
      <c r="K10" s="316">
        <v>1</v>
      </c>
      <c r="L10" s="317"/>
    </row>
    <row r="11" spans="1:12">
      <c r="A11" s="312">
        <f t="shared" si="0"/>
        <v>3</v>
      </c>
      <c r="B11" s="313">
        <v>2E-3</v>
      </c>
      <c r="C11" s="335">
        <v>4.5000000000000005E-3</v>
      </c>
      <c r="D11" s="335">
        <v>7.0000000000000001E-3</v>
      </c>
      <c r="E11" s="335">
        <v>9.4999999999999998E-3</v>
      </c>
      <c r="F11" s="335">
        <v>1.2E-2</v>
      </c>
      <c r="G11" s="335">
        <v>1.4500000000000001E-2</v>
      </c>
      <c r="H11" s="335">
        <v>1.7000000000000001E-2</v>
      </c>
      <c r="I11" s="336">
        <v>1.9500000000000003E-2</v>
      </c>
      <c r="K11" s="316">
        <v>1</v>
      </c>
      <c r="L11" s="317"/>
    </row>
    <row r="12" spans="1:12">
      <c r="A12" s="312">
        <f t="shared" si="0"/>
        <v>4</v>
      </c>
      <c r="B12" s="313">
        <v>7.7937692590143645E-3</v>
      </c>
      <c r="C12" s="335">
        <v>9.8107729687562095E-3</v>
      </c>
      <c r="D12" s="335">
        <v>1.1835008661202474E-2</v>
      </c>
      <c r="E12" s="335">
        <v>1.3866187116599534E-2</v>
      </c>
      <c r="F12" s="335">
        <v>1.5904033299653304E-2</v>
      </c>
      <c r="G12" s="335">
        <v>1.7948285501950337E-2</v>
      </c>
      <c r="H12" s="335">
        <v>1.9998694581079092E-2</v>
      </c>
      <c r="I12" s="336">
        <v>2.2055023250323123E-2</v>
      </c>
      <c r="K12" s="316">
        <v>0.90000000000000013</v>
      </c>
      <c r="L12" s="317"/>
    </row>
    <row r="13" spans="1:12">
      <c r="A13" s="312">
        <f t="shared" si="0"/>
        <v>5</v>
      </c>
      <c r="B13" s="313">
        <v>7.7937692590143645E-3</v>
      </c>
      <c r="C13" s="335">
        <v>9.8107729687562095E-3</v>
      </c>
      <c r="D13" s="335">
        <v>1.1835008661202474E-2</v>
      </c>
      <c r="E13" s="335">
        <v>1.3866187116599534E-2</v>
      </c>
      <c r="F13" s="335">
        <v>1.5904033299653304E-2</v>
      </c>
      <c r="G13" s="335">
        <v>1.7948285501950337E-2</v>
      </c>
      <c r="H13" s="335">
        <v>1.9998694581079092E-2</v>
      </c>
      <c r="I13" s="336">
        <v>2.2055023250323123E-2</v>
      </c>
      <c r="K13" s="316">
        <v>0.90000000000000013</v>
      </c>
      <c r="L13" s="317"/>
    </row>
    <row r="14" spans="1:12">
      <c r="A14" s="312">
        <f t="shared" si="0"/>
        <v>6</v>
      </c>
      <c r="B14" s="313">
        <v>7.7937692590143645E-3</v>
      </c>
      <c r="C14" s="335">
        <v>9.8107729687562095E-3</v>
      </c>
      <c r="D14" s="335">
        <v>1.1835008661202474E-2</v>
      </c>
      <c r="E14" s="335">
        <v>1.3866187116599534E-2</v>
      </c>
      <c r="F14" s="335">
        <v>1.5904033299653304E-2</v>
      </c>
      <c r="G14" s="335">
        <v>1.7948285501950337E-2</v>
      </c>
      <c r="H14" s="335">
        <v>1.9998694581079092E-2</v>
      </c>
      <c r="I14" s="336">
        <v>2.2055023250323123E-2</v>
      </c>
      <c r="K14" s="316">
        <v>0.90000000000000013</v>
      </c>
      <c r="L14" s="317"/>
    </row>
    <row r="15" spans="1:12">
      <c r="A15" s="312">
        <f t="shared" si="0"/>
        <v>7</v>
      </c>
      <c r="B15" s="313">
        <v>7.7937692590143645E-3</v>
      </c>
      <c r="C15" s="335">
        <v>9.8107729687562095E-3</v>
      </c>
      <c r="D15" s="335">
        <v>1.1835008661202474E-2</v>
      </c>
      <c r="E15" s="335">
        <v>1.3866187116599534E-2</v>
      </c>
      <c r="F15" s="335">
        <v>1.5904033299653304E-2</v>
      </c>
      <c r="G15" s="335">
        <v>1.7948285501950337E-2</v>
      </c>
      <c r="H15" s="335">
        <v>1.9998694581079092E-2</v>
      </c>
      <c r="I15" s="336">
        <v>2.2055023250323123E-2</v>
      </c>
      <c r="K15" s="316">
        <v>0.90000000000000013</v>
      </c>
      <c r="L15" s="317"/>
    </row>
    <row r="16" spans="1:12">
      <c r="A16" s="312">
        <f t="shared" si="0"/>
        <v>8</v>
      </c>
      <c r="B16" s="313">
        <v>7.7937692590143645E-3</v>
      </c>
      <c r="C16" s="335">
        <v>9.8107729687562095E-3</v>
      </c>
      <c r="D16" s="335">
        <v>1.1835008661202474E-2</v>
      </c>
      <c r="E16" s="335">
        <v>1.3866187116599534E-2</v>
      </c>
      <c r="F16" s="335">
        <v>1.5904033299653304E-2</v>
      </c>
      <c r="G16" s="335">
        <v>1.7948285501950337E-2</v>
      </c>
      <c r="H16" s="335">
        <v>1.9998694581079092E-2</v>
      </c>
      <c r="I16" s="336">
        <v>2.2055023250323123E-2</v>
      </c>
      <c r="K16" s="316">
        <v>0.90000000000000013</v>
      </c>
      <c r="L16" s="317"/>
    </row>
    <row r="17" spans="1:18">
      <c r="A17" s="312">
        <f t="shared" si="0"/>
        <v>9</v>
      </c>
      <c r="B17" s="313">
        <v>7.7937692590143645E-3</v>
      </c>
      <c r="C17" s="335">
        <v>9.8107729687562095E-3</v>
      </c>
      <c r="D17" s="335">
        <v>1.1835008661202474E-2</v>
      </c>
      <c r="E17" s="335">
        <v>1.3866187116599534E-2</v>
      </c>
      <c r="F17" s="335">
        <v>1.5904033299653304E-2</v>
      </c>
      <c r="G17" s="335">
        <v>1.7948285501950337E-2</v>
      </c>
      <c r="H17" s="335">
        <v>1.9998694581079092E-2</v>
      </c>
      <c r="I17" s="336">
        <v>2.2055023250323123E-2</v>
      </c>
      <c r="K17" s="316">
        <v>0.90000000000000013</v>
      </c>
      <c r="L17" s="317"/>
    </row>
    <row r="18" spans="1:18">
      <c r="A18" s="312">
        <f t="shared" si="0"/>
        <v>10</v>
      </c>
      <c r="B18" s="313">
        <v>7.7937692590143645E-3</v>
      </c>
      <c r="C18" s="335">
        <v>9.8107729687562095E-3</v>
      </c>
      <c r="D18" s="335">
        <v>1.1835008661202474E-2</v>
      </c>
      <c r="E18" s="335">
        <v>1.3866187116599534E-2</v>
      </c>
      <c r="F18" s="335">
        <v>1.5904033299653304E-2</v>
      </c>
      <c r="G18" s="335">
        <v>1.7948285501950337E-2</v>
      </c>
      <c r="H18" s="335">
        <v>1.9998694581079092E-2</v>
      </c>
      <c r="I18" s="336">
        <v>2.2055023250323123E-2</v>
      </c>
      <c r="K18" s="316">
        <v>0.90000000000000013</v>
      </c>
      <c r="L18" s="317"/>
    </row>
    <row r="19" spans="1:18">
      <c r="A19" s="312">
        <f t="shared" si="0"/>
        <v>11</v>
      </c>
      <c r="B19" s="313">
        <v>7.4337692590143644E-3</v>
      </c>
      <c r="C19" s="335">
        <v>9.0007729687562113E-3</v>
      </c>
      <c r="D19" s="335">
        <v>1.0575008661202475E-2</v>
      </c>
      <c r="E19" s="335">
        <v>1.2156187116599534E-2</v>
      </c>
      <c r="F19" s="335">
        <v>1.3744033299653305E-2</v>
      </c>
      <c r="G19" s="335">
        <v>1.5338285501950339E-2</v>
      </c>
      <c r="H19" s="335">
        <v>1.6938694581079095E-2</v>
      </c>
      <c r="I19" s="336">
        <v>1.8545023250323124E-2</v>
      </c>
      <c r="K19" s="316">
        <v>0.72000000000000008</v>
      </c>
      <c r="L19" s="317"/>
    </row>
    <row r="20" spans="1:18">
      <c r="A20" s="312">
        <f t="shared" si="0"/>
        <v>12</v>
      </c>
      <c r="B20" s="313">
        <v>7.1457692590143644E-3</v>
      </c>
      <c r="C20" s="335">
        <v>8.3527729687562103E-3</v>
      </c>
      <c r="D20" s="335">
        <v>9.5670086612024731E-3</v>
      </c>
      <c r="E20" s="335">
        <v>1.0788187116599533E-2</v>
      </c>
      <c r="F20" s="335">
        <v>1.2016033299653305E-2</v>
      </c>
      <c r="G20" s="335">
        <v>1.3250285501950338E-2</v>
      </c>
      <c r="H20" s="335">
        <v>1.4490694581079093E-2</v>
      </c>
      <c r="I20" s="336">
        <v>1.5737023250323126E-2</v>
      </c>
      <c r="K20" s="316">
        <v>0.57600000000000007</v>
      </c>
      <c r="L20" s="317"/>
    </row>
    <row r="21" spans="1:18">
      <c r="A21" s="312">
        <f t="shared" si="0"/>
        <v>13</v>
      </c>
      <c r="B21" s="313">
        <v>6.0163038701622103E-3</v>
      </c>
      <c r="C21" s="335">
        <v>6.9702570234427795E-3</v>
      </c>
      <c r="D21" s="335">
        <v>7.9303573620221023E-3</v>
      </c>
      <c r="E21" s="335">
        <v>8.8963590491096031E-3</v>
      </c>
      <c r="F21" s="335">
        <v>9.868028304705307E-3</v>
      </c>
      <c r="G21" s="335">
        <v>1.0845142676657787E-2</v>
      </c>
      <c r="H21" s="335">
        <v>1.1827490393917228E-2</v>
      </c>
      <c r="I21" s="336">
        <v>1.2814869762774657E-2</v>
      </c>
      <c r="K21" s="316">
        <v>0.4608000000000001</v>
      </c>
      <c r="L21" s="317"/>
    </row>
    <row r="22" spans="1:18">
      <c r="A22" s="312">
        <f t="shared" si="0"/>
        <v>14</v>
      </c>
      <c r="B22" s="313">
        <v>3.7341646295071824E-3</v>
      </c>
      <c r="C22" s="335">
        <v>4.5392664843781055E-3</v>
      </c>
      <c r="D22" s="335">
        <v>5.3479843306012374E-3</v>
      </c>
      <c r="E22" s="335">
        <v>6.1601735582997672E-3</v>
      </c>
      <c r="F22" s="335">
        <v>6.9756966498266525E-3</v>
      </c>
      <c r="G22" s="335">
        <v>7.7944227509751706E-3</v>
      </c>
      <c r="H22" s="335">
        <v>8.6162272905395479E-3</v>
      </c>
      <c r="I22" s="336">
        <v>9.4409916251615641E-3</v>
      </c>
      <c r="K22" s="316">
        <v>0.36864000000000008</v>
      </c>
      <c r="L22" s="317"/>
    </row>
    <row r="23" spans="1:18">
      <c r="A23" s="312">
        <f t="shared" si="0"/>
        <v>15</v>
      </c>
      <c r="B23" s="313">
        <v>1.4888893888521547E-3</v>
      </c>
      <c r="C23" s="335">
        <v>2.191219945313432E-3</v>
      </c>
      <c r="D23" s="335">
        <v>2.8946352991803715E-3</v>
      </c>
      <c r="E23" s="335">
        <v>3.5990920674899311E-3</v>
      </c>
      <c r="F23" s="335">
        <v>4.3045489949479964E-3</v>
      </c>
      <c r="G23" s="335">
        <v>5.0109668252925526E-3</v>
      </c>
      <c r="H23" s="335">
        <v>5.7183081871618659E-3</v>
      </c>
      <c r="I23" s="336">
        <v>6.4265374875484707E-3</v>
      </c>
      <c r="K23" s="316">
        <v>0.29491200000000012</v>
      </c>
      <c r="L23" s="317"/>
    </row>
    <row r="24" spans="1:18">
      <c r="A24" s="312">
        <f t="shared" si="0"/>
        <v>16</v>
      </c>
      <c r="B24" s="313">
        <v>1.1911115110817237E-3</v>
      </c>
      <c r="C24" s="318">
        <v>1.7529759562507456E-3</v>
      </c>
      <c r="D24" s="318">
        <v>2.3157082393442971E-3</v>
      </c>
      <c r="E24" s="318">
        <v>2.8792736539919451E-3</v>
      </c>
      <c r="F24" s="318">
        <v>3.4436391959583972E-3</v>
      </c>
      <c r="G24" s="318">
        <v>4.008773460234042E-3</v>
      </c>
      <c r="H24" s="318">
        <v>4.5746465497294928E-3</v>
      </c>
      <c r="I24" s="319">
        <v>5.1412299900387773E-3</v>
      </c>
      <c r="J24" s="327"/>
      <c r="K24" s="326">
        <v>0.2359296000000001</v>
      </c>
      <c r="L24" s="317"/>
      <c r="M24" s="327"/>
      <c r="N24" s="327"/>
      <c r="O24" s="327"/>
      <c r="P24" s="327"/>
      <c r="Q24" s="327"/>
      <c r="R24" s="327"/>
    </row>
    <row r="25" spans="1:18">
      <c r="A25" s="312">
        <f t="shared" si="0"/>
        <v>17</v>
      </c>
      <c r="B25" s="313">
        <v>9.5288920886537904E-4</v>
      </c>
      <c r="C25" s="335">
        <v>1.4023807650005967E-3</v>
      </c>
      <c r="D25" s="335">
        <v>1.8525665914754378E-3</v>
      </c>
      <c r="E25" s="335">
        <v>2.3034189231935561E-3</v>
      </c>
      <c r="F25" s="335">
        <v>2.7549113567667178E-3</v>
      </c>
      <c r="G25" s="335">
        <v>3.2070187681872337E-3</v>
      </c>
      <c r="H25" s="335">
        <v>3.6597172397835943E-3</v>
      </c>
      <c r="I25" s="336">
        <v>4.1129839920310222E-3</v>
      </c>
      <c r="J25" s="327"/>
      <c r="K25" s="326">
        <v>0.18874368000000011</v>
      </c>
      <c r="L25" s="317"/>
      <c r="M25" s="327"/>
      <c r="N25" s="327"/>
      <c r="O25" s="327"/>
      <c r="P25" s="327"/>
      <c r="Q25" s="327"/>
      <c r="R25" s="327"/>
    </row>
    <row r="26" spans="1:18">
      <c r="A26" s="312">
        <f t="shared" si="0"/>
        <v>18</v>
      </c>
      <c r="B26" s="313">
        <v>7.6231136709230328E-4</v>
      </c>
      <c r="C26" s="335">
        <v>1.1219046120004774E-3</v>
      </c>
      <c r="D26" s="335">
        <v>1.4820532731803504E-3</v>
      </c>
      <c r="E26" s="335">
        <v>1.842735138554845E-3</v>
      </c>
      <c r="F26" s="335">
        <v>2.2039290854133742E-3</v>
      </c>
      <c r="G26" s="335">
        <v>2.565615014549787E-3</v>
      </c>
      <c r="H26" s="335">
        <v>2.9277737918268756E-3</v>
      </c>
      <c r="I26" s="336">
        <v>3.2903871936248181E-3</v>
      </c>
      <c r="J26" s="327"/>
      <c r="K26" s="326">
        <v>0.15099494400000008</v>
      </c>
      <c r="L26" s="317"/>
      <c r="M26" s="327"/>
      <c r="N26" s="327"/>
      <c r="O26" s="327"/>
      <c r="P26" s="327"/>
      <c r="Q26" s="327"/>
      <c r="R26" s="327"/>
    </row>
    <row r="27" spans="1:18">
      <c r="A27" s="312">
        <f t="shared" si="0"/>
        <v>19</v>
      </c>
      <c r="B27" s="313">
        <v>6.0984909367384264E-4</v>
      </c>
      <c r="C27" s="335">
        <v>8.975236896003819E-4</v>
      </c>
      <c r="D27" s="335">
        <v>1.1856426185442805E-3</v>
      </c>
      <c r="E27" s="335">
        <v>1.4741881108438762E-3</v>
      </c>
      <c r="F27" s="335">
        <v>1.7631432683306995E-3</v>
      </c>
      <c r="G27" s="335">
        <v>2.0524920116398297E-3</v>
      </c>
      <c r="H27" s="335">
        <v>2.3422190334615005E-3</v>
      </c>
      <c r="I27" s="336">
        <v>2.6323097548998546E-3</v>
      </c>
      <c r="J27" s="327"/>
      <c r="K27" s="326">
        <v>0.12079595520000008</v>
      </c>
      <c r="L27" s="317"/>
      <c r="M27" s="327"/>
      <c r="N27" s="327"/>
      <c r="O27" s="327"/>
      <c r="P27" s="327"/>
      <c r="Q27" s="327"/>
      <c r="R27" s="327"/>
    </row>
    <row r="28" spans="1:18">
      <c r="A28" s="320">
        <f t="shared" si="0"/>
        <v>20</v>
      </c>
      <c r="B28" s="321">
        <v>4.8787927493907415E-4</v>
      </c>
      <c r="C28" s="340">
        <v>7.1801895168030559E-4</v>
      </c>
      <c r="D28" s="340">
        <v>9.4851409483542436E-4</v>
      </c>
      <c r="E28" s="340">
        <v>1.1793504886751011E-3</v>
      </c>
      <c r="F28" s="340">
        <v>1.4105146146645596E-3</v>
      </c>
      <c r="G28" s="340">
        <v>1.6419936093118638E-3</v>
      </c>
      <c r="H28" s="340">
        <v>1.8737752267692005E-3</v>
      </c>
      <c r="I28" s="341">
        <v>2.1058478039198839E-3</v>
      </c>
      <c r="J28" s="327"/>
      <c r="K28" s="326">
        <v>9.6636764160000069E-2</v>
      </c>
      <c r="L28" s="317"/>
      <c r="M28" s="327"/>
      <c r="N28" s="327"/>
      <c r="O28" s="327"/>
      <c r="P28" s="327"/>
      <c r="Q28" s="327"/>
      <c r="R28" s="327"/>
    </row>
    <row r="29" spans="1:18">
      <c r="J29" s="327"/>
      <c r="K29" s="327"/>
      <c r="L29" s="327"/>
      <c r="M29" s="327"/>
      <c r="N29" s="327"/>
      <c r="O29" s="327"/>
      <c r="P29" s="327"/>
      <c r="Q29" s="327"/>
      <c r="R29" s="327"/>
    </row>
    <row r="30" spans="1:18">
      <c r="A30" s="305" t="s">
        <v>154</v>
      </c>
    </row>
    <row r="31" spans="1:18">
      <c r="A31" s="305" t="s">
        <v>153</v>
      </c>
    </row>
    <row r="33" spans="1:1">
      <c r="A33" s="324" t="s">
        <v>157</v>
      </c>
    </row>
    <row r="34" spans="1:1">
      <c r="A34" s="305" t="s">
        <v>155</v>
      </c>
    </row>
    <row r="35" spans="1:1">
      <c r="A35" s="305" t="s">
        <v>160</v>
      </c>
    </row>
    <row r="37" spans="1:1">
      <c r="A37" s="324" t="s">
        <v>158</v>
      </c>
    </row>
    <row r="38" spans="1:1">
      <c r="A38" s="305" t="s">
        <v>159</v>
      </c>
    </row>
  </sheetData>
  <mergeCells count="1">
    <mergeCell ref="B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B0CF5-E24C-4B27-AA35-F5B9518FBB09}">
  <sheetPr>
    <tabColor rgb="FF00B050"/>
  </sheetPr>
  <dimension ref="A2:AZ63"/>
  <sheetViews>
    <sheetView showGridLines="0" topLeftCell="A24" workbookViewId="0">
      <selection activeCell="A38" sqref="A38:XFD43"/>
    </sheetView>
  </sheetViews>
  <sheetFormatPr defaultColWidth="8.875" defaultRowHeight="14.25"/>
  <cols>
    <col min="1" max="9" width="11.25" customWidth="1"/>
    <col min="10" max="11" width="12" customWidth="1"/>
    <col min="12" max="12" width="13.75" bestFit="1" customWidth="1"/>
    <col min="13" max="13" width="21.375" bestFit="1" customWidth="1"/>
    <col min="14" max="18" width="12" customWidth="1"/>
  </cols>
  <sheetData>
    <row r="2" spans="1:9" ht="15">
      <c r="A2" s="250" t="s">
        <v>127</v>
      </c>
      <c r="B2" s="250"/>
    </row>
    <row r="3" spans="1:9">
      <c r="A3" t="s">
        <v>103</v>
      </c>
    </row>
    <row r="4" spans="1:9">
      <c r="A4" t="s">
        <v>104</v>
      </c>
    </row>
    <row r="6" spans="1:9">
      <c r="A6" t="s">
        <v>125</v>
      </c>
    </row>
    <row r="7" spans="1:9" s="290" customFormat="1">
      <c r="A7" s="290" t="s">
        <v>162</v>
      </c>
    </row>
    <row r="8" spans="1:9" s="290" customFormat="1">
      <c r="A8" s="290" t="s">
        <v>161</v>
      </c>
    </row>
    <row r="10" spans="1:9" ht="14.25" customHeight="1">
      <c r="A10" s="221"/>
      <c r="B10" s="275" t="s">
        <v>89</v>
      </c>
      <c r="C10" s="276"/>
      <c r="D10" s="276"/>
      <c r="E10" s="276"/>
      <c r="F10" s="276"/>
      <c r="G10" s="276"/>
      <c r="H10" s="276"/>
      <c r="I10" s="277"/>
    </row>
    <row r="11" spans="1:9" ht="15">
      <c r="A11" s="222" t="s">
        <v>1</v>
      </c>
      <c r="B11" s="256">
        <v>0</v>
      </c>
      <c r="C11" s="257">
        <v>2.5000000000000001E-3</v>
      </c>
      <c r="D11" s="257">
        <v>5.0000000000000001E-3</v>
      </c>
      <c r="E11" s="257">
        <v>7.4999999999999997E-3</v>
      </c>
      <c r="F11" s="257">
        <v>0.01</v>
      </c>
      <c r="G11" s="257">
        <v>1.2500000000000001E-2</v>
      </c>
      <c r="H11" s="257">
        <v>1.4999999999999999E-2</v>
      </c>
      <c r="I11" s="258">
        <v>1.7500000000000002E-2</v>
      </c>
    </row>
    <row r="12" spans="1:9">
      <c r="A12" s="247">
        <v>1</v>
      </c>
      <c r="B12" s="267">
        <v>1.3014425513237633E-2</v>
      </c>
      <c r="C12" s="223">
        <v>1.4369598100689407E-2</v>
      </c>
      <c r="D12" s="223">
        <v>1.572993463201787E-2</v>
      </c>
      <c r="E12" s="163">
        <v>1.7095380704154325E-2</v>
      </c>
      <c r="F12" s="163">
        <v>1.9198290125751253E-2</v>
      </c>
      <c r="G12" s="163">
        <v>2.1634337963236015E-2</v>
      </c>
      <c r="H12" s="163">
        <v>2.407071327626335E-2</v>
      </c>
      <c r="I12" s="232">
        <v>2.6507412723570205E-2</v>
      </c>
    </row>
    <row r="13" spans="1:9">
      <c r="A13" s="248">
        <f t="shared" ref="A13:A36" si="0">A12+1</f>
        <v>2</v>
      </c>
      <c r="B13" s="268">
        <v>1.3014425513237633E-2</v>
      </c>
      <c r="C13" s="161">
        <v>1.4369598100689407E-2</v>
      </c>
      <c r="D13" s="161">
        <v>1.572993463201787E-2</v>
      </c>
      <c r="E13" s="210">
        <v>1.7095380704154325E-2</v>
      </c>
      <c r="F13" s="210">
        <v>1.9198290125751253E-2</v>
      </c>
      <c r="G13" s="210">
        <v>2.1634337963236015E-2</v>
      </c>
      <c r="H13" s="210">
        <v>2.407071327626335E-2</v>
      </c>
      <c r="I13" s="227">
        <v>2.6507412723570205E-2</v>
      </c>
    </row>
    <row r="14" spans="1:9">
      <c r="A14" s="248">
        <f t="shared" si="0"/>
        <v>3</v>
      </c>
      <c r="B14" s="268">
        <v>1.3014425513237633E-2</v>
      </c>
      <c r="C14" s="161">
        <v>1.4369598100689407E-2</v>
      </c>
      <c r="D14" s="161">
        <v>1.572993463201787E-2</v>
      </c>
      <c r="E14" s="210">
        <v>1.7095380704154325E-2</v>
      </c>
      <c r="F14" s="210">
        <v>1.9198290125751253E-2</v>
      </c>
      <c r="G14" s="210">
        <v>2.1634337963236015E-2</v>
      </c>
      <c r="H14" s="210">
        <v>2.407071327626335E-2</v>
      </c>
      <c r="I14" s="227">
        <v>2.6507412723570205E-2</v>
      </c>
    </row>
    <row r="15" spans="1:9">
      <c r="A15" s="248">
        <f t="shared" si="0"/>
        <v>4</v>
      </c>
      <c r="B15" s="268">
        <v>1.3014425513237633E-2</v>
      </c>
      <c r="C15" s="161">
        <v>1.4369598100689407E-2</v>
      </c>
      <c r="D15" s="161">
        <v>1.572993463201787E-2</v>
      </c>
      <c r="E15" s="210">
        <v>1.7095380704154325E-2</v>
      </c>
      <c r="F15" s="210">
        <v>1.9198290125751253E-2</v>
      </c>
      <c r="G15" s="210">
        <v>2.1634337963236015E-2</v>
      </c>
      <c r="H15" s="210">
        <v>2.407071327626335E-2</v>
      </c>
      <c r="I15" s="227">
        <v>2.6507412723570205E-2</v>
      </c>
    </row>
    <row r="16" spans="1:9">
      <c r="A16" s="248">
        <f t="shared" si="0"/>
        <v>5</v>
      </c>
      <c r="B16" s="268">
        <v>1.3014425513237633E-2</v>
      </c>
      <c r="C16" s="161">
        <v>1.4369598100689407E-2</v>
      </c>
      <c r="D16" s="161">
        <v>1.572993463201787E-2</v>
      </c>
      <c r="E16" s="210">
        <v>1.7095380704154325E-2</v>
      </c>
      <c r="F16" s="210">
        <v>1.9198290125751253E-2</v>
      </c>
      <c r="G16" s="210">
        <v>2.1634337963236015E-2</v>
      </c>
      <c r="H16" s="210">
        <v>2.407071327626335E-2</v>
      </c>
      <c r="I16" s="227">
        <v>2.6507412723570205E-2</v>
      </c>
    </row>
    <row r="17" spans="1:9">
      <c r="A17" s="248">
        <f t="shared" si="0"/>
        <v>6</v>
      </c>
      <c r="B17" s="268">
        <v>1.3014425513237633E-2</v>
      </c>
      <c r="C17" s="161">
        <v>1.4369598100689407E-2</v>
      </c>
      <c r="D17" s="161">
        <v>1.572993463201787E-2</v>
      </c>
      <c r="E17" s="210">
        <v>1.7095380704154325E-2</v>
      </c>
      <c r="F17" s="210">
        <v>1.9198290125751253E-2</v>
      </c>
      <c r="G17" s="210">
        <v>2.1634337963236015E-2</v>
      </c>
      <c r="H17" s="210">
        <v>2.407071327626335E-2</v>
      </c>
      <c r="I17" s="227">
        <v>2.6507412723570205E-2</v>
      </c>
    </row>
    <row r="18" spans="1:9">
      <c r="A18" s="248">
        <f t="shared" si="0"/>
        <v>7</v>
      </c>
      <c r="B18" s="268">
        <v>1.3014425513237633E-2</v>
      </c>
      <c r="C18" s="161">
        <v>1.4369598100689407E-2</v>
      </c>
      <c r="D18" s="161">
        <v>1.572993463201787E-2</v>
      </c>
      <c r="E18" s="210">
        <v>1.7095380704154325E-2</v>
      </c>
      <c r="F18" s="210">
        <v>1.9198290125751253E-2</v>
      </c>
      <c r="G18" s="210">
        <v>2.1634337963236015E-2</v>
      </c>
      <c r="H18" s="210">
        <v>2.407071327626335E-2</v>
      </c>
      <c r="I18" s="227">
        <v>2.6507412723570205E-2</v>
      </c>
    </row>
    <row r="19" spans="1:9">
      <c r="A19" s="248">
        <f t="shared" si="0"/>
        <v>8</v>
      </c>
      <c r="B19" s="268">
        <v>1.3014425513237633E-2</v>
      </c>
      <c r="C19" s="161">
        <v>1.4369598100689407E-2</v>
      </c>
      <c r="D19" s="161">
        <v>1.572993463201787E-2</v>
      </c>
      <c r="E19" s="210">
        <v>1.7095380704154325E-2</v>
      </c>
      <c r="F19" s="210">
        <v>1.9198290125751253E-2</v>
      </c>
      <c r="G19" s="210">
        <v>2.1634337963236015E-2</v>
      </c>
      <c r="H19" s="210">
        <v>2.407071327626335E-2</v>
      </c>
      <c r="I19" s="227">
        <v>2.6507412723570205E-2</v>
      </c>
    </row>
    <row r="20" spans="1:9">
      <c r="A20" s="248">
        <f t="shared" si="0"/>
        <v>9</v>
      </c>
      <c r="B20" s="268">
        <v>1.3014425513237633E-2</v>
      </c>
      <c r="C20" s="161">
        <v>1.4369598100689407E-2</v>
      </c>
      <c r="D20" s="161">
        <v>1.572993463201787E-2</v>
      </c>
      <c r="E20" s="210">
        <v>1.7095380704154325E-2</v>
      </c>
      <c r="F20" s="210">
        <v>1.9198290125751253E-2</v>
      </c>
      <c r="G20" s="210">
        <v>2.1634337963236015E-2</v>
      </c>
      <c r="H20" s="210">
        <v>2.407071327626335E-2</v>
      </c>
      <c r="I20" s="227">
        <v>2.6507412723570205E-2</v>
      </c>
    </row>
    <row r="21" spans="1:9">
      <c r="A21" s="248">
        <f t="shared" si="0"/>
        <v>10</v>
      </c>
      <c r="B21" s="268">
        <v>1.3014425513237633E-2</v>
      </c>
      <c r="C21" s="161">
        <v>1.4369598100689407E-2</v>
      </c>
      <c r="D21" s="161">
        <v>1.572993463201787E-2</v>
      </c>
      <c r="E21" s="210">
        <v>1.7095380704154325E-2</v>
      </c>
      <c r="F21" s="210">
        <v>1.9198290125751253E-2</v>
      </c>
      <c r="G21" s="210">
        <v>2.1634337963236015E-2</v>
      </c>
      <c r="H21" s="210">
        <v>2.407071327626335E-2</v>
      </c>
      <c r="I21" s="227">
        <v>2.6507412723570205E-2</v>
      </c>
    </row>
    <row r="22" spans="1:9">
      <c r="A22" s="248">
        <f t="shared" si="0"/>
        <v>11</v>
      </c>
      <c r="B22" s="268">
        <v>1.3014425513237633E-2</v>
      </c>
      <c r="C22" s="161">
        <v>1.4369598100689407E-2</v>
      </c>
      <c r="D22" s="161">
        <v>1.572993463201787E-2</v>
      </c>
      <c r="E22" s="210">
        <v>1.7095380704154325E-2</v>
      </c>
      <c r="F22" s="210">
        <v>1.9198290125751253E-2</v>
      </c>
      <c r="G22" s="210">
        <v>2.1634337963236015E-2</v>
      </c>
      <c r="H22" s="210">
        <v>2.407071327626335E-2</v>
      </c>
      <c r="I22" s="227">
        <v>2.6507412723570205E-2</v>
      </c>
    </row>
    <row r="23" spans="1:9">
      <c r="A23" s="248">
        <f t="shared" si="0"/>
        <v>12</v>
      </c>
      <c r="B23" s="268">
        <v>1.3014425513237633E-2</v>
      </c>
      <c r="C23" s="161">
        <v>1.4369598100689407E-2</v>
      </c>
      <c r="D23" s="161">
        <v>1.572993463201787E-2</v>
      </c>
      <c r="E23" s="210">
        <v>1.7095380704154325E-2</v>
      </c>
      <c r="F23" s="210">
        <v>1.9198290125751253E-2</v>
      </c>
      <c r="G23" s="210">
        <v>2.1634337963236015E-2</v>
      </c>
      <c r="H23" s="210">
        <v>2.407071327626335E-2</v>
      </c>
      <c r="I23" s="227">
        <v>2.6507412723570205E-2</v>
      </c>
    </row>
    <row r="24" spans="1:9">
      <c r="A24" s="248">
        <f t="shared" si="0"/>
        <v>13</v>
      </c>
      <c r="B24" s="268">
        <v>1.3014425513237633E-2</v>
      </c>
      <c r="C24" s="161">
        <v>1.4369598100689407E-2</v>
      </c>
      <c r="D24" s="161">
        <v>1.572993463201787E-2</v>
      </c>
      <c r="E24" s="210">
        <v>1.7095380704154325E-2</v>
      </c>
      <c r="F24" s="210">
        <v>1.9198290125751253E-2</v>
      </c>
      <c r="G24" s="210">
        <v>2.1634337963236015E-2</v>
      </c>
      <c r="H24" s="210">
        <v>2.407071327626335E-2</v>
      </c>
      <c r="I24" s="227">
        <v>2.6507412723570205E-2</v>
      </c>
    </row>
    <row r="25" spans="1:9">
      <c r="A25" s="248">
        <f t="shared" si="0"/>
        <v>14</v>
      </c>
      <c r="B25" s="268">
        <v>1.3014425513237633E-2</v>
      </c>
      <c r="C25" s="161">
        <v>1.4369598100689407E-2</v>
      </c>
      <c r="D25" s="161">
        <v>1.572993463201787E-2</v>
      </c>
      <c r="E25" s="210">
        <v>1.7095380704154325E-2</v>
      </c>
      <c r="F25" s="210">
        <v>1.9198290125751253E-2</v>
      </c>
      <c r="G25" s="210">
        <v>2.1634337963236015E-2</v>
      </c>
      <c r="H25" s="210">
        <v>2.407071327626335E-2</v>
      </c>
      <c r="I25" s="227">
        <v>2.6507412723570205E-2</v>
      </c>
    </row>
    <row r="26" spans="1:9">
      <c r="A26" s="248">
        <f t="shared" si="0"/>
        <v>15</v>
      </c>
      <c r="B26" s="268">
        <v>1.3014425513237633E-2</v>
      </c>
      <c r="C26" s="161">
        <v>1.4369598100689407E-2</v>
      </c>
      <c r="D26" s="161">
        <v>1.572993463201787E-2</v>
      </c>
      <c r="E26" s="210">
        <v>1.7095380704154325E-2</v>
      </c>
      <c r="F26" s="210">
        <v>1.9198290125751253E-2</v>
      </c>
      <c r="G26" s="210">
        <v>2.1634337963236015E-2</v>
      </c>
      <c r="H26" s="210">
        <v>2.407071327626335E-2</v>
      </c>
      <c r="I26" s="227">
        <v>2.6507412723570205E-2</v>
      </c>
    </row>
    <row r="27" spans="1:9">
      <c r="A27" s="248">
        <f t="shared" si="0"/>
        <v>16</v>
      </c>
      <c r="B27" s="268">
        <v>1.3014425513237633E-2</v>
      </c>
      <c r="C27" s="161">
        <v>1.4369598100689407E-2</v>
      </c>
      <c r="D27" s="161">
        <v>1.572993463201787E-2</v>
      </c>
      <c r="E27" s="210">
        <v>1.7095380704154325E-2</v>
      </c>
      <c r="F27" s="210">
        <v>1.9198290125751253E-2</v>
      </c>
      <c r="G27" s="210">
        <v>2.1634337963236015E-2</v>
      </c>
      <c r="H27" s="210">
        <v>2.407071327626335E-2</v>
      </c>
      <c r="I27" s="227">
        <v>2.6507412723570205E-2</v>
      </c>
    </row>
    <row r="28" spans="1:9">
      <c r="A28" s="248">
        <f t="shared" si="0"/>
        <v>17</v>
      </c>
      <c r="B28" s="268">
        <v>1.3014425513237633E-2</v>
      </c>
      <c r="C28" s="161">
        <v>1.4369598100689407E-2</v>
      </c>
      <c r="D28" s="161">
        <v>1.572993463201787E-2</v>
      </c>
      <c r="E28" s="210">
        <v>1.7095380704154325E-2</v>
      </c>
      <c r="F28" s="210">
        <v>1.9198290125751253E-2</v>
      </c>
      <c r="G28" s="210">
        <v>2.1634337963236015E-2</v>
      </c>
      <c r="H28" s="210">
        <v>2.407071327626335E-2</v>
      </c>
      <c r="I28" s="227">
        <v>2.6507412723570205E-2</v>
      </c>
    </row>
    <row r="29" spans="1:9">
      <c r="A29" s="248">
        <f t="shared" si="0"/>
        <v>18</v>
      </c>
      <c r="B29" s="268">
        <v>1.3014425513237633E-2</v>
      </c>
      <c r="C29" s="161">
        <v>1.4369598100689407E-2</v>
      </c>
      <c r="D29" s="161">
        <v>1.572993463201787E-2</v>
      </c>
      <c r="E29" s="210">
        <v>1.7095380704154325E-2</v>
      </c>
      <c r="F29" s="210">
        <v>1.9198290125751253E-2</v>
      </c>
      <c r="G29" s="210">
        <v>2.1634337963236015E-2</v>
      </c>
      <c r="H29" s="210">
        <v>2.407071327626335E-2</v>
      </c>
      <c r="I29" s="227">
        <v>2.6507412723570205E-2</v>
      </c>
    </row>
    <row r="30" spans="1:9">
      <c r="A30" s="248">
        <f t="shared" si="0"/>
        <v>19</v>
      </c>
      <c r="B30" s="268">
        <v>1.3014425513237633E-2</v>
      </c>
      <c r="C30" s="161">
        <v>1.4369598100689407E-2</v>
      </c>
      <c r="D30" s="161">
        <v>1.572993463201787E-2</v>
      </c>
      <c r="E30" s="210">
        <v>1.7095380704154325E-2</v>
      </c>
      <c r="F30" s="210">
        <v>1.9198290125751253E-2</v>
      </c>
      <c r="G30" s="210">
        <v>2.1634337963236015E-2</v>
      </c>
      <c r="H30" s="210">
        <v>2.407071327626335E-2</v>
      </c>
      <c r="I30" s="227">
        <v>2.6507412723570205E-2</v>
      </c>
    </row>
    <row r="31" spans="1:9">
      <c r="A31" s="248">
        <f t="shared" si="0"/>
        <v>20</v>
      </c>
      <c r="B31" s="268">
        <v>1.3014425513237633E-2</v>
      </c>
      <c r="C31" s="161">
        <v>1.4369598100689407E-2</v>
      </c>
      <c r="D31" s="161">
        <v>1.572993463201787E-2</v>
      </c>
      <c r="E31" s="210">
        <v>1.7095380704154325E-2</v>
      </c>
      <c r="F31" s="210">
        <v>1.9198290125751253E-2</v>
      </c>
      <c r="G31" s="210">
        <v>2.1634337963236015E-2</v>
      </c>
      <c r="H31" s="210">
        <v>2.407071327626335E-2</v>
      </c>
      <c r="I31" s="227">
        <v>2.6507412723570205E-2</v>
      </c>
    </row>
    <row r="32" spans="1:9">
      <c r="A32" s="248">
        <f t="shared" si="0"/>
        <v>21</v>
      </c>
      <c r="B32" s="268">
        <v>1.3014425513237633E-2</v>
      </c>
      <c r="C32" s="161">
        <v>1.4369598100689407E-2</v>
      </c>
      <c r="D32" s="161">
        <v>1.572993463201787E-2</v>
      </c>
      <c r="E32" s="210">
        <v>1.7095380704154325E-2</v>
      </c>
      <c r="F32" s="210">
        <v>1.9198290125751253E-2</v>
      </c>
      <c r="G32" s="210">
        <v>2.1634337963236015E-2</v>
      </c>
      <c r="H32" s="210">
        <v>2.407071327626335E-2</v>
      </c>
      <c r="I32" s="227">
        <v>2.6507412723570205E-2</v>
      </c>
    </row>
    <row r="33" spans="1:9">
      <c r="A33" s="248">
        <f t="shared" si="0"/>
        <v>22</v>
      </c>
      <c r="B33" s="268">
        <v>1.3014425513237633E-2</v>
      </c>
      <c r="C33" s="161">
        <v>1.4369598100689407E-2</v>
      </c>
      <c r="D33" s="161">
        <v>1.572993463201787E-2</v>
      </c>
      <c r="E33" s="210">
        <v>1.7095380704154325E-2</v>
      </c>
      <c r="F33" s="210">
        <v>1.9198290125751253E-2</v>
      </c>
      <c r="G33" s="210">
        <v>2.1634337963236015E-2</v>
      </c>
      <c r="H33" s="210">
        <v>2.407071327626335E-2</v>
      </c>
      <c r="I33" s="227">
        <v>2.6507412723570205E-2</v>
      </c>
    </row>
    <row r="34" spans="1:9">
      <c r="A34" s="248">
        <f t="shared" si="0"/>
        <v>23</v>
      </c>
      <c r="B34" s="268">
        <v>1.3014425513237633E-2</v>
      </c>
      <c r="C34" s="161">
        <v>1.4369598100689407E-2</v>
      </c>
      <c r="D34" s="161">
        <v>1.572993463201787E-2</v>
      </c>
      <c r="E34" s="210">
        <v>1.7095380704154325E-2</v>
      </c>
      <c r="F34" s="210">
        <v>1.9198290125751253E-2</v>
      </c>
      <c r="G34" s="210">
        <v>2.1634337963236015E-2</v>
      </c>
      <c r="H34" s="210">
        <v>2.407071327626335E-2</v>
      </c>
      <c r="I34" s="227">
        <v>2.6507412723570205E-2</v>
      </c>
    </row>
    <row r="35" spans="1:9">
      <c r="A35" s="248">
        <f t="shared" si="0"/>
        <v>24</v>
      </c>
      <c r="B35" s="268">
        <v>1.3014425513237633E-2</v>
      </c>
      <c r="C35" s="161">
        <v>1.4369598100689407E-2</v>
      </c>
      <c r="D35" s="161">
        <v>1.572993463201787E-2</v>
      </c>
      <c r="E35" s="210">
        <v>1.7095380704154325E-2</v>
      </c>
      <c r="F35" s="210">
        <v>1.9198290125751253E-2</v>
      </c>
      <c r="G35" s="210">
        <v>2.1634337963236015E-2</v>
      </c>
      <c r="H35" s="210">
        <v>2.407071327626335E-2</v>
      </c>
      <c r="I35" s="227">
        <v>2.6507412723570205E-2</v>
      </c>
    </row>
    <row r="36" spans="1:9">
      <c r="A36" s="246">
        <f t="shared" si="0"/>
        <v>25</v>
      </c>
      <c r="B36" s="266">
        <v>1.3014425513237633E-2</v>
      </c>
      <c r="C36" s="225">
        <v>1.4369598100689407E-2</v>
      </c>
      <c r="D36" s="225">
        <v>1.572993463201787E-2</v>
      </c>
      <c r="E36" s="233">
        <v>1.7095380704154325E-2</v>
      </c>
      <c r="F36" s="233">
        <v>1.9198290125751253E-2</v>
      </c>
      <c r="G36" s="233">
        <v>2.1634337963236015E-2</v>
      </c>
      <c r="H36" s="233">
        <v>2.407071327626335E-2</v>
      </c>
      <c r="I36" s="234">
        <v>2.6507412723570205E-2</v>
      </c>
    </row>
    <row r="38" spans="1:9" s="290" customFormat="1">
      <c r="A38" s="289" t="s">
        <v>157</v>
      </c>
    </row>
    <row r="39" spans="1:9" s="290" customFormat="1">
      <c r="A39" s="290" t="s">
        <v>155</v>
      </c>
    </row>
    <row r="40" spans="1:9" s="290" customFormat="1">
      <c r="A40" s="290" t="s">
        <v>160</v>
      </c>
    </row>
    <row r="41" spans="1:9" s="290" customFormat="1"/>
    <row r="42" spans="1:9" s="290" customFormat="1">
      <c r="A42" s="289" t="s">
        <v>158</v>
      </c>
    </row>
    <row r="43" spans="1:9" s="290" customFormat="1">
      <c r="A43" s="290" t="s">
        <v>159</v>
      </c>
    </row>
    <row r="53" spans="18:52">
      <c r="R53" s="9"/>
      <c r="S53" s="9"/>
      <c r="T53" s="9"/>
      <c r="U53" s="9"/>
      <c r="V53" s="9"/>
    </row>
    <row r="62" spans="18:52">
      <c r="W62" s="9"/>
      <c r="X62" s="9"/>
      <c r="Y62" s="9"/>
      <c r="Z62" s="9"/>
      <c r="AA62" s="9"/>
      <c r="AB62" s="9"/>
    </row>
    <row r="63" spans="18:52">
      <c r="AC63" s="9">
        <f>AB62+1</f>
        <v>1</v>
      </c>
      <c r="AD63" s="9">
        <f t="shared" ref="AD63:AZ63" si="1">AC63+1</f>
        <v>2</v>
      </c>
      <c r="AE63" s="9">
        <f t="shared" si="1"/>
        <v>3</v>
      </c>
      <c r="AF63" s="9">
        <f t="shared" si="1"/>
        <v>4</v>
      </c>
      <c r="AG63" s="9">
        <f t="shared" si="1"/>
        <v>5</v>
      </c>
      <c r="AH63" s="9">
        <f t="shared" si="1"/>
        <v>6</v>
      </c>
      <c r="AI63" s="9">
        <f t="shared" si="1"/>
        <v>7</v>
      </c>
      <c r="AJ63" s="9">
        <f t="shared" si="1"/>
        <v>8</v>
      </c>
      <c r="AK63" s="9">
        <f t="shared" si="1"/>
        <v>9</v>
      </c>
      <c r="AL63" s="9">
        <f t="shared" si="1"/>
        <v>10</v>
      </c>
      <c r="AM63" s="9">
        <f t="shared" si="1"/>
        <v>11</v>
      </c>
      <c r="AN63" s="9">
        <f t="shared" si="1"/>
        <v>12</v>
      </c>
      <c r="AO63" s="9">
        <f t="shared" si="1"/>
        <v>13</v>
      </c>
      <c r="AP63" s="9">
        <f t="shared" si="1"/>
        <v>14</v>
      </c>
      <c r="AQ63" s="9">
        <f t="shared" si="1"/>
        <v>15</v>
      </c>
      <c r="AR63" s="9">
        <f t="shared" si="1"/>
        <v>16</v>
      </c>
      <c r="AS63" s="9">
        <f t="shared" si="1"/>
        <v>17</v>
      </c>
      <c r="AT63" s="9">
        <f t="shared" si="1"/>
        <v>18</v>
      </c>
      <c r="AU63" s="9">
        <f t="shared" si="1"/>
        <v>19</v>
      </c>
      <c r="AV63" s="9">
        <f t="shared" si="1"/>
        <v>20</v>
      </c>
      <c r="AW63" s="9">
        <f t="shared" si="1"/>
        <v>21</v>
      </c>
      <c r="AX63" s="9">
        <f t="shared" si="1"/>
        <v>22</v>
      </c>
      <c r="AY63" s="9">
        <f t="shared" si="1"/>
        <v>23</v>
      </c>
      <c r="AZ63" s="9">
        <f t="shared" si="1"/>
        <v>24</v>
      </c>
    </row>
  </sheetData>
  <mergeCells count="1">
    <mergeCell ref="B10:I1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FFA1-8F58-4586-AC7C-248CD2CA00D2}">
  <sheetPr>
    <tabColor rgb="FF00B050"/>
  </sheetPr>
  <dimension ref="A2:AZ62"/>
  <sheetViews>
    <sheetView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6384" width="8.875" style="305"/>
  </cols>
  <sheetData>
    <row r="2" spans="1:9" ht="15">
      <c r="A2" s="250" t="s">
        <v>142</v>
      </c>
      <c r="B2" s="250"/>
    </row>
    <row r="3" spans="1:9">
      <c r="A3" s="305" t="s">
        <v>116</v>
      </c>
    </row>
    <row r="5" spans="1:9">
      <c r="A5" s="305" t="s">
        <v>125</v>
      </c>
    </row>
    <row r="6" spans="1:9">
      <c r="A6" s="305" t="s">
        <v>162</v>
      </c>
    </row>
    <row r="7" spans="1:9">
      <c r="A7" s="305" t="s">
        <v>161</v>
      </c>
    </row>
    <row r="9" spans="1:9" ht="14.25" customHeight="1">
      <c r="A9" s="306"/>
      <c r="B9" s="307" t="s">
        <v>89</v>
      </c>
      <c r="C9" s="308"/>
      <c r="D9" s="308"/>
      <c r="E9" s="308"/>
      <c r="F9" s="308"/>
      <c r="G9" s="308"/>
      <c r="H9" s="308"/>
      <c r="I9" s="309"/>
    </row>
    <row r="10" spans="1:9" ht="15">
      <c r="A10" s="311" t="s">
        <v>1</v>
      </c>
      <c r="B10" s="256">
        <v>0</v>
      </c>
      <c r="C10" s="257">
        <v>2.5000000000000001E-3</v>
      </c>
      <c r="D10" s="257">
        <v>5.0000000000000001E-3</v>
      </c>
      <c r="E10" s="257">
        <v>7.4999999999999997E-3</v>
      </c>
      <c r="F10" s="257">
        <v>0.01</v>
      </c>
      <c r="G10" s="257">
        <v>1.2500000000000001E-2</v>
      </c>
      <c r="H10" s="257">
        <v>1.4999999999999999E-2</v>
      </c>
      <c r="I10" s="258">
        <v>1.7500000000000002E-2</v>
      </c>
    </row>
    <row r="11" spans="1:9">
      <c r="A11" s="331">
        <v>1</v>
      </c>
      <c r="B11" s="348">
        <v>4.4733042767919774E-3</v>
      </c>
      <c r="C11" s="332">
        <v>6.8649163534463681E-3</v>
      </c>
      <c r="D11" s="332">
        <v>9.257016199713447E-3</v>
      </c>
      <c r="E11" s="332">
        <v>1.1649598419223443E-2</v>
      </c>
      <c r="F11" s="332">
        <v>1.4042657848318365E-2</v>
      </c>
      <c r="G11" s="332">
        <v>1.6436189384594926E-2</v>
      </c>
      <c r="H11" s="332">
        <v>1.8830187986110011E-2</v>
      </c>
      <c r="I11" s="333">
        <v>2.1224648670598621E-2</v>
      </c>
    </row>
    <row r="12" spans="1:9">
      <c r="A12" s="334">
        <f t="shared" ref="A12:A35" si="0">A11+1</f>
        <v>2</v>
      </c>
      <c r="B12" s="349">
        <v>4.4733042767919774E-3</v>
      </c>
      <c r="C12" s="335">
        <v>6.8649163534463681E-3</v>
      </c>
      <c r="D12" s="335">
        <v>9.257016199713447E-3</v>
      </c>
      <c r="E12" s="335">
        <v>1.1649598419223443E-2</v>
      </c>
      <c r="F12" s="335">
        <v>1.4042657848318365E-2</v>
      </c>
      <c r="G12" s="335">
        <v>1.6436189384594926E-2</v>
      </c>
      <c r="H12" s="335">
        <v>1.8830187986110011E-2</v>
      </c>
      <c r="I12" s="336">
        <v>2.1224648670598621E-2</v>
      </c>
    </row>
    <row r="13" spans="1:9">
      <c r="A13" s="334">
        <f t="shared" si="0"/>
        <v>3</v>
      </c>
      <c r="B13" s="349">
        <v>4.4733042767919774E-3</v>
      </c>
      <c r="C13" s="335">
        <v>6.8649163534463681E-3</v>
      </c>
      <c r="D13" s="335">
        <v>9.257016199713447E-3</v>
      </c>
      <c r="E13" s="335">
        <v>1.1649598419223443E-2</v>
      </c>
      <c r="F13" s="335">
        <v>1.4042657848318365E-2</v>
      </c>
      <c r="G13" s="335">
        <v>1.6436189384594926E-2</v>
      </c>
      <c r="H13" s="335">
        <v>1.8830187986110011E-2</v>
      </c>
      <c r="I13" s="336">
        <v>2.1224648670598621E-2</v>
      </c>
    </row>
    <row r="14" spans="1:9">
      <c r="A14" s="334">
        <f t="shared" si="0"/>
        <v>4</v>
      </c>
      <c r="B14" s="349">
        <v>4.4733042767919774E-3</v>
      </c>
      <c r="C14" s="335">
        <v>6.8649163534463681E-3</v>
      </c>
      <c r="D14" s="335">
        <v>9.257016199713447E-3</v>
      </c>
      <c r="E14" s="335">
        <v>1.1649598419223443E-2</v>
      </c>
      <c r="F14" s="335">
        <v>1.4042657848318365E-2</v>
      </c>
      <c r="G14" s="335">
        <v>1.6436189384594926E-2</v>
      </c>
      <c r="H14" s="335">
        <v>1.8830187986110011E-2</v>
      </c>
      <c r="I14" s="336">
        <v>2.1224648670598621E-2</v>
      </c>
    </row>
    <row r="15" spans="1:9">
      <c r="A15" s="334">
        <f t="shared" si="0"/>
        <v>5</v>
      </c>
      <c r="B15" s="349">
        <v>4.4733042767919774E-3</v>
      </c>
      <c r="C15" s="335">
        <v>6.8649163534463681E-3</v>
      </c>
      <c r="D15" s="335">
        <v>9.257016199713447E-3</v>
      </c>
      <c r="E15" s="335">
        <v>1.1649598419223443E-2</v>
      </c>
      <c r="F15" s="335">
        <v>1.4042657848318365E-2</v>
      </c>
      <c r="G15" s="335">
        <v>1.6436189384594926E-2</v>
      </c>
      <c r="H15" s="335">
        <v>1.8830187986110011E-2</v>
      </c>
      <c r="I15" s="336">
        <v>2.1224648670598621E-2</v>
      </c>
    </row>
    <row r="16" spans="1:9">
      <c r="A16" s="334">
        <f t="shared" si="0"/>
        <v>6</v>
      </c>
      <c r="B16" s="349">
        <v>4.4733042767919774E-3</v>
      </c>
      <c r="C16" s="335">
        <v>6.8649163534463681E-3</v>
      </c>
      <c r="D16" s="335">
        <v>9.257016199713447E-3</v>
      </c>
      <c r="E16" s="335">
        <v>1.1649598419223443E-2</v>
      </c>
      <c r="F16" s="335">
        <v>1.4042657848318365E-2</v>
      </c>
      <c r="G16" s="335">
        <v>1.6436189384594926E-2</v>
      </c>
      <c r="H16" s="335">
        <v>1.8830187986110011E-2</v>
      </c>
      <c r="I16" s="336">
        <v>2.1224648670598621E-2</v>
      </c>
    </row>
    <row r="17" spans="1:9">
      <c r="A17" s="334">
        <f t="shared" si="0"/>
        <v>7</v>
      </c>
      <c r="B17" s="349">
        <v>4.4733042767919774E-3</v>
      </c>
      <c r="C17" s="335">
        <v>6.8649163534463681E-3</v>
      </c>
      <c r="D17" s="335">
        <v>9.257016199713447E-3</v>
      </c>
      <c r="E17" s="335">
        <v>1.1649598419223443E-2</v>
      </c>
      <c r="F17" s="335">
        <v>1.4042657848318365E-2</v>
      </c>
      <c r="G17" s="335">
        <v>1.6436189384594926E-2</v>
      </c>
      <c r="H17" s="335">
        <v>1.8830187986110011E-2</v>
      </c>
      <c r="I17" s="336">
        <v>2.1224648670598621E-2</v>
      </c>
    </row>
    <row r="18" spans="1:9">
      <c r="A18" s="334">
        <f t="shared" si="0"/>
        <v>8</v>
      </c>
      <c r="B18" s="349">
        <v>4.4733042767919774E-3</v>
      </c>
      <c r="C18" s="335">
        <v>6.8649163534463681E-3</v>
      </c>
      <c r="D18" s="335">
        <v>9.257016199713447E-3</v>
      </c>
      <c r="E18" s="335">
        <v>1.1649598419223443E-2</v>
      </c>
      <c r="F18" s="335">
        <v>1.4042657848318365E-2</v>
      </c>
      <c r="G18" s="335">
        <v>1.6436189384594926E-2</v>
      </c>
      <c r="H18" s="335">
        <v>1.8830187986110011E-2</v>
      </c>
      <c r="I18" s="336">
        <v>2.1224648670598621E-2</v>
      </c>
    </row>
    <row r="19" spans="1:9">
      <c r="A19" s="334">
        <f t="shared" si="0"/>
        <v>9</v>
      </c>
      <c r="B19" s="349">
        <v>4.4733042767919774E-3</v>
      </c>
      <c r="C19" s="335">
        <v>6.8649163534463681E-3</v>
      </c>
      <c r="D19" s="335">
        <v>9.257016199713447E-3</v>
      </c>
      <c r="E19" s="335">
        <v>1.1649598419223443E-2</v>
      </c>
      <c r="F19" s="335">
        <v>1.4042657848318365E-2</v>
      </c>
      <c r="G19" s="335">
        <v>1.6436189384594926E-2</v>
      </c>
      <c r="H19" s="335">
        <v>1.8830187986110011E-2</v>
      </c>
      <c r="I19" s="336">
        <v>2.1224648670598621E-2</v>
      </c>
    </row>
    <row r="20" spans="1:9">
      <c r="A20" s="334">
        <f t="shared" si="0"/>
        <v>10</v>
      </c>
      <c r="B20" s="349">
        <v>4.4733042767919774E-3</v>
      </c>
      <c r="C20" s="335">
        <v>6.8649163534463681E-3</v>
      </c>
      <c r="D20" s="335">
        <v>9.257016199713447E-3</v>
      </c>
      <c r="E20" s="335">
        <v>1.1649598419223443E-2</v>
      </c>
      <c r="F20" s="335">
        <v>1.4042657848318365E-2</v>
      </c>
      <c r="G20" s="335">
        <v>1.6436189384594926E-2</v>
      </c>
      <c r="H20" s="335">
        <v>1.8830187986110011E-2</v>
      </c>
      <c r="I20" s="336">
        <v>2.1224648670598621E-2</v>
      </c>
    </row>
    <row r="21" spans="1:9">
      <c r="A21" s="334">
        <f t="shared" si="0"/>
        <v>11</v>
      </c>
      <c r="B21" s="349">
        <v>4.4733042767919774E-3</v>
      </c>
      <c r="C21" s="335">
        <v>6.8649163534463681E-3</v>
      </c>
      <c r="D21" s="335">
        <v>9.257016199713447E-3</v>
      </c>
      <c r="E21" s="335">
        <v>1.1649598419223443E-2</v>
      </c>
      <c r="F21" s="335">
        <v>1.4042657848318365E-2</v>
      </c>
      <c r="G21" s="335">
        <v>1.6436189384594926E-2</v>
      </c>
      <c r="H21" s="335">
        <v>1.8830187986110011E-2</v>
      </c>
      <c r="I21" s="336">
        <v>2.1224648670598621E-2</v>
      </c>
    </row>
    <row r="22" spans="1:9">
      <c r="A22" s="334">
        <f t="shared" si="0"/>
        <v>12</v>
      </c>
      <c r="B22" s="349">
        <v>4.4733042767919774E-3</v>
      </c>
      <c r="C22" s="335">
        <v>6.8649163534463681E-3</v>
      </c>
      <c r="D22" s="335">
        <v>9.257016199713447E-3</v>
      </c>
      <c r="E22" s="335">
        <v>1.1649598419223443E-2</v>
      </c>
      <c r="F22" s="335">
        <v>1.4042657848318365E-2</v>
      </c>
      <c r="G22" s="335">
        <v>1.6436189384594926E-2</v>
      </c>
      <c r="H22" s="335">
        <v>1.8830187986110011E-2</v>
      </c>
      <c r="I22" s="336">
        <v>2.1224648670598621E-2</v>
      </c>
    </row>
    <row r="23" spans="1:9">
      <c r="A23" s="334">
        <f t="shared" si="0"/>
        <v>13</v>
      </c>
      <c r="B23" s="349">
        <v>4.4733042767919774E-3</v>
      </c>
      <c r="C23" s="335">
        <v>6.8649163534463681E-3</v>
      </c>
      <c r="D23" s="335">
        <v>9.257016199713447E-3</v>
      </c>
      <c r="E23" s="335">
        <v>1.1649598419223443E-2</v>
      </c>
      <c r="F23" s="335">
        <v>1.4042657848318365E-2</v>
      </c>
      <c r="G23" s="335">
        <v>1.6436189384594926E-2</v>
      </c>
      <c r="H23" s="335">
        <v>1.8830187986110011E-2</v>
      </c>
      <c r="I23" s="336">
        <v>2.1224648670598621E-2</v>
      </c>
    </row>
    <row r="24" spans="1:9">
      <c r="A24" s="334">
        <f t="shared" si="0"/>
        <v>14</v>
      </c>
      <c r="B24" s="349">
        <v>4.4733042767919774E-3</v>
      </c>
      <c r="C24" s="335">
        <v>6.8649163534463681E-3</v>
      </c>
      <c r="D24" s="335">
        <v>9.257016199713447E-3</v>
      </c>
      <c r="E24" s="335">
        <v>1.1649598419223443E-2</v>
      </c>
      <c r="F24" s="335">
        <v>1.4042657848318365E-2</v>
      </c>
      <c r="G24" s="335">
        <v>1.6436189384594926E-2</v>
      </c>
      <c r="H24" s="335">
        <v>1.8830187986110011E-2</v>
      </c>
      <c r="I24" s="336">
        <v>2.1224648670598621E-2</v>
      </c>
    </row>
    <row r="25" spans="1:9">
      <c r="A25" s="334">
        <f t="shared" si="0"/>
        <v>15</v>
      </c>
      <c r="B25" s="349">
        <v>4.4733042767919774E-3</v>
      </c>
      <c r="C25" s="335">
        <v>6.8649163534463681E-3</v>
      </c>
      <c r="D25" s="335">
        <v>9.257016199713447E-3</v>
      </c>
      <c r="E25" s="335">
        <v>1.1649598419223443E-2</v>
      </c>
      <c r="F25" s="335">
        <v>1.4042657848318365E-2</v>
      </c>
      <c r="G25" s="335">
        <v>1.6436189384594926E-2</v>
      </c>
      <c r="H25" s="335">
        <v>1.8830187986110011E-2</v>
      </c>
      <c r="I25" s="336">
        <v>2.1224648670598621E-2</v>
      </c>
    </row>
    <row r="26" spans="1:9">
      <c r="A26" s="334">
        <f t="shared" si="0"/>
        <v>16</v>
      </c>
      <c r="B26" s="349">
        <v>4.4733042767919774E-3</v>
      </c>
      <c r="C26" s="335">
        <v>6.8649163534463681E-3</v>
      </c>
      <c r="D26" s="335">
        <v>9.257016199713447E-3</v>
      </c>
      <c r="E26" s="335">
        <v>1.1649598419223443E-2</v>
      </c>
      <c r="F26" s="335">
        <v>1.4042657848318365E-2</v>
      </c>
      <c r="G26" s="335">
        <v>1.6436189384594926E-2</v>
      </c>
      <c r="H26" s="335">
        <v>1.8830187986110011E-2</v>
      </c>
      <c r="I26" s="336">
        <v>2.1224648670598621E-2</v>
      </c>
    </row>
    <row r="27" spans="1:9">
      <c r="A27" s="334">
        <f t="shared" si="0"/>
        <v>17</v>
      </c>
      <c r="B27" s="349">
        <v>4.4733042767919774E-3</v>
      </c>
      <c r="C27" s="335">
        <v>6.8649163534463681E-3</v>
      </c>
      <c r="D27" s="335">
        <v>9.257016199713447E-3</v>
      </c>
      <c r="E27" s="335">
        <v>1.1649598419223443E-2</v>
      </c>
      <c r="F27" s="335">
        <v>1.4042657848318365E-2</v>
      </c>
      <c r="G27" s="335">
        <v>1.6436189384594926E-2</v>
      </c>
      <c r="H27" s="335">
        <v>1.8830187986110011E-2</v>
      </c>
      <c r="I27" s="336">
        <v>2.1224648670598621E-2</v>
      </c>
    </row>
    <row r="28" spans="1:9">
      <c r="A28" s="334">
        <f t="shared" si="0"/>
        <v>18</v>
      </c>
      <c r="B28" s="349">
        <v>4.4733042767919774E-3</v>
      </c>
      <c r="C28" s="335">
        <v>6.8649163534463681E-3</v>
      </c>
      <c r="D28" s="335">
        <v>9.257016199713447E-3</v>
      </c>
      <c r="E28" s="335">
        <v>1.1649598419223443E-2</v>
      </c>
      <c r="F28" s="335">
        <v>1.4042657848318365E-2</v>
      </c>
      <c r="G28" s="335">
        <v>1.6436189384594926E-2</v>
      </c>
      <c r="H28" s="335">
        <v>1.8830187986110011E-2</v>
      </c>
      <c r="I28" s="336">
        <v>2.1224648670598621E-2</v>
      </c>
    </row>
    <row r="29" spans="1:9">
      <c r="A29" s="334">
        <f t="shared" si="0"/>
        <v>19</v>
      </c>
      <c r="B29" s="349">
        <v>4.4733042767919774E-3</v>
      </c>
      <c r="C29" s="335">
        <v>6.8649163534463681E-3</v>
      </c>
      <c r="D29" s="335">
        <v>9.257016199713447E-3</v>
      </c>
      <c r="E29" s="335">
        <v>1.1649598419223443E-2</v>
      </c>
      <c r="F29" s="335">
        <v>1.4042657848318365E-2</v>
      </c>
      <c r="G29" s="335">
        <v>1.6436189384594926E-2</v>
      </c>
      <c r="H29" s="335">
        <v>1.8830187986110011E-2</v>
      </c>
      <c r="I29" s="336">
        <v>2.1224648670598621E-2</v>
      </c>
    </row>
    <row r="30" spans="1:9">
      <c r="A30" s="334">
        <f t="shared" si="0"/>
        <v>20</v>
      </c>
      <c r="B30" s="349">
        <v>4.4733042767919774E-3</v>
      </c>
      <c r="C30" s="335">
        <v>6.8649163534463681E-3</v>
      </c>
      <c r="D30" s="335">
        <v>9.257016199713447E-3</v>
      </c>
      <c r="E30" s="335">
        <v>1.1649598419223443E-2</v>
      </c>
      <c r="F30" s="335">
        <v>1.4042657848318365E-2</v>
      </c>
      <c r="G30" s="335">
        <v>1.6436189384594926E-2</v>
      </c>
      <c r="H30" s="335">
        <v>1.8830187986110011E-2</v>
      </c>
      <c r="I30" s="336">
        <v>2.1224648670598621E-2</v>
      </c>
    </row>
    <row r="31" spans="1:9">
      <c r="A31" s="334">
        <f t="shared" si="0"/>
        <v>21</v>
      </c>
      <c r="B31" s="349">
        <v>4.4733042767919774E-3</v>
      </c>
      <c r="C31" s="335">
        <v>6.8649163534463681E-3</v>
      </c>
      <c r="D31" s="335">
        <v>9.257016199713447E-3</v>
      </c>
      <c r="E31" s="335">
        <v>1.1649598419223443E-2</v>
      </c>
      <c r="F31" s="335">
        <v>1.4042657848318365E-2</v>
      </c>
      <c r="G31" s="335">
        <v>1.6436189384594926E-2</v>
      </c>
      <c r="H31" s="335">
        <v>1.8830187986110011E-2</v>
      </c>
      <c r="I31" s="336">
        <v>2.1224648670598621E-2</v>
      </c>
    </row>
    <row r="32" spans="1:9">
      <c r="A32" s="334">
        <f t="shared" si="0"/>
        <v>22</v>
      </c>
      <c r="B32" s="349">
        <v>4.4733042767919774E-3</v>
      </c>
      <c r="C32" s="318">
        <v>6.8649163534463681E-3</v>
      </c>
      <c r="D32" s="318">
        <v>9.257016199713447E-3</v>
      </c>
      <c r="E32" s="318">
        <v>1.1649598419223443E-2</v>
      </c>
      <c r="F32" s="318">
        <v>1.4042657848318365E-2</v>
      </c>
      <c r="G32" s="318">
        <v>1.6436189384594926E-2</v>
      </c>
      <c r="H32" s="318">
        <v>1.8830187986110011E-2</v>
      </c>
      <c r="I32" s="319">
        <v>2.1224648670598621E-2</v>
      </c>
    </row>
    <row r="33" spans="1:9">
      <c r="A33" s="334">
        <f t="shared" si="0"/>
        <v>23</v>
      </c>
      <c r="B33" s="349">
        <v>4.4733042767919774E-3</v>
      </c>
      <c r="C33" s="318">
        <v>6.8649163534463681E-3</v>
      </c>
      <c r="D33" s="318">
        <v>9.257016199713447E-3</v>
      </c>
      <c r="E33" s="318">
        <v>1.1649598419223443E-2</v>
      </c>
      <c r="F33" s="318">
        <v>1.4042657848318365E-2</v>
      </c>
      <c r="G33" s="318">
        <v>1.6436189384594926E-2</v>
      </c>
      <c r="H33" s="318">
        <v>1.8830187986110011E-2</v>
      </c>
      <c r="I33" s="319">
        <v>2.1224648670598621E-2</v>
      </c>
    </row>
    <row r="34" spans="1:9">
      <c r="A34" s="334">
        <f t="shared" si="0"/>
        <v>24</v>
      </c>
      <c r="B34" s="349">
        <v>4.4733042767919774E-3</v>
      </c>
      <c r="C34" s="318">
        <v>6.8649163534463681E-3</v>
      </c>
      <c r="D34" s="318">
        <v>9.257016199713447E-3</v>
      </c>
      <c r="E34" s="318">
        <v>1.1649598419223443E-2</v>
      </c>
      <c r="F34" s="318">
        <v>1.4042657848318365E-2</v>
      </c>
      <c r="G34" s="318">
        <v>1.6436189384594926E-2</v>
      </c>
      <c r="H34" s="318">
        <v>1.8830187986110011E-2</v>
      </c>
      <c r="I34" s="319">
        <v>2.1224648670598621E-2</v>
      </c>
    </row>
    <row r="35" spans="1:9">
      <c r="A35" s="339">
        <f t="shared" si="0"/>
        <v>25</v>
      </c>
      <c r="B35" s="350">
        <v>4.4733042767919774E-3</v>
      </c>
      <c r="C35" s="322">
        <v>6.8649163534463681E-3</v>
      </c>
      <c r="D35" s="322">
        <v>9.257016199713447E-3</v>
      </c>
      <c r="E35" s="322">
        <v>1.1649598419223443E-2</v>
      </c>
      <c r="F35" s="322">
        <v>1.4042657848318365E-2</v>
      </c>
      <c r="G35" s="322">
        <v>1.6436189384594926E-2</v>
      </c>
      <c r="H35" s="322">
        <v>1.8830187986110011E-2</v>
      </c>
      <c r="I35" s="323">
        <v>2.1224648670598621E-2</v>
      </c>
    </row>
    <row r="37" spans="1:9">
      <c r="A37" s="324" t="s">
        <v>157</v>
      </c>
    </row>
    <row r="38" spans="1:9">
      <c r="A38" s="305" t="s">
        <v>155</v>
      </c>
    </row>
    <row r="39" spans="1:9">
      <c r="A39" s="305" t="s">
        <v>160</v>
      </c>
    </row>
    <row r="41" spans="1:9">
      <c r="A41" s="324" t="s">
        <v>158</v>
      </c>
    </row>
    <row r="42" spans="1:9">
      <c r="A42" s="305" t="s">
        <v>159</v>
      </c>
    </row>
    <row r="61" spans="23:52">
      <c r="W61" s="305">
        <f>V52+1</f>
        <v>1</v>
      </c>
      <c r="X61" s="305">
        <f>W61+1</f>
        <v>2</v>
      </c>
      <c r="Y61" s="305">
        <f>X61+1</f>
        <v>3</v>
      </c>
      <c r="Z61" s="305">
        <f>Y61+1</f>
        <v>4</v>
      </c>
      <c r="AA61" s="305">
        <f>Z61+1</f>
        <v>5</v>
      </c>
      <c r="AB61" s="305">
        <f>AA61+1</f>
        <v>6</v>
      </c>
    </row>
    <row r="62" spans="23:52">
      <c r="AC62" s="305">
        <f>AB61+1</f>
        <v>7</v>
      </c>
      <c r="AD62" s="305">
        <f t="shared" ref="AD62:AZ62" si="1">AC62+1</f>
        <v>8</v>
      </c>
      <c r="AE62" s="305">
        <f t="shared" si="1"/>
        <v>9</v>
      </c>
      <c r="AF62" s="305">
        <f t="shared" si="1"/>
        <v>10</v>
      </c>
      <c r="AG62" s="305">
        <f t="shared" si="1"/>
        <v>11</v>
      </c>
      <c r="AH62" s="305">
        <f t="shared" si="1"/>
        <v>12</v>
      </c>
      <c r="AI62" s="305">
        <f t="shared" si="1"/>
        <v>13</v>
      </c>
      <c r="AJ62" s="305">
        <f t="shared" si="1"/>
        <v>14</v>
      </c>
      <c r="AK62" s="305">
        <f t="shared" si="1"/>
        <v>15</v>
      </c>
      <c r="AL62" s="305">
        <f t="shared" si="1"/>
        <v>16</v>
      </c>
      <c r="AM62" s="305">
        <f t="shared" si="1"/>
        <v>17</v>
      </c>
      <c r="AN62" s="305">
        <f t="shared" si="1"/>
        <v>18</v>
      </c>
      <c r="AO62" s="305">
        <f t="shared" si="1"/>
        <v>19</v>
      </c>
      <c r="AP62" s="305">
        <f t="shared" si="1"/>
        <v>20</v>
      </c>
      <c r="AQ62" s="305">
        <f t="shared" si="1"/>
        <v>21</v>
      </c>
      <c r="AR62" s="305">
        <f t="shared" si="1"/>
        <v>22</v>
      </c>
      <c r="AS62" s="305">
        <f t="shared" si="1"/>
        <v>23</v>
      </c>
      <c r="AT62" s="305">
        <f t="shared" si="1"/>
        <v>24</v>
      </c>
      <c r="AU62" s="305">
        <f t="shared" si="1"/>
        <v>25</v>
      </c>
      <c r="AV62" s="305">
        <f t="shared" si="1"/>
        <v>26</v>
      </c>
      <c r="AW62" s="305">
        <f t="shared" si="1"/>
        <v>27</v>
      </c>
      <c r="AX62" s="305">
        <f t="shared" si="1"/>
        <v>28</v>
      </c>
      <c r="AY62" s="305">
        <f t="shared" si="1"/>
        <v>29</v>
      </c>
      <c r="AZ62" s="305">
        <f t="shared" si="1"/>
        <v>30</v>
      </c>
    </row>
  </sheetData>
  <mergeCells count="1">
    <mergeCell ref="B9:I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BEC0-4577-4B08-84BD-12CDAA6E9C26}">
  <sheetPr>
    <tabColor rgb="FF00B050"/>
  </sheetPr>
  <dimension ref="A2:L43"/>
  <sheetViews>
    <sheetView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9" width="12.125" style="305" bestFit="1" customWidth="1"/>
    <col min="20" max="20" width="10.125" style="305" bestFit="1" customWidth="1"/>
    <col min="21" max="16384" width="8.875" style="305"/>
  </cols>
  <sheetData>
    <row r="2" spans="1:12" ht="15">
      <c r="A2" s="250" t="s">
        <v>143</v>
      </c>
      <c r="B2" s="250"/>
    </row>
    <row r="3" spans="1:12">
      <c r="A3" s="305" t="s">
        <v>117</v>
      </c>
    </row>
    <row r="5" spans="1:12">
      <c r="A5" s="305" t="s">
        <v>124</v>
      </c>
    </row>
    <row r="7" spans="1:12" ht="14.25" customHeight="1">
      <c r="A7" s="306"/>
      <c r="B7" s="307" t="s">
        <v>89</v>
      </c>
      <c r="C7" s="308"/>
      <c r="D7" s="308"/>
      <c r="E7" s="308"/>
      <c r="F7" s="308"/>
      <c r="G7" s="308"/>
      <c r="H7" s="308"/>
      <c r="I7" s="309"/>
    </row>
    <row r="8" spans="1:12" ht="15">
      <c r="A8" s="311" t="s">
        <v>1</v>
      </c>
      <c r="B8" s="252">
        <v>0</v>
      </c>
      <c r="C8" s="251">
        <v>2.5000000000000001E-3</v>
      </c>
      <c r="D8" s="251">
        <v>5.0000000000000001E-3</v>
      </c>
      <c r="E8" s="251">
        <v>7.4999999999999997E-3</v>
      </c>
      <c r="F8" s="251">
        <v>0.01</v>
      </c>
      <c r="G8" s="251">
        <v>1.2500000000000001E-2</v>
      </c>
      <c r="H8" s="251">
        <v>1.4999999999999999E-2</v>
      </c>
      <c r="I8" s="255">
        <v>1.7500000000000002E-2</v>
      </c>
      <c r="K8" s="310" t="s">
        <v>152</v>
      </c>
    </row>
    <row r="9" spans="1:12">
      <c r="A9" s="343">
        <v>1</v>
      </c>
      <c r="B9" s="347">
        <v>2.0000000000000005E-3</v>
      </c>
      <c r="C9" s="332">
        <v>4.5000000000000005E-3</v>
      </c>
      <c r="D9" s="332">
        <v>7.0000000000000001E-3</v>
      </c>
      <c r="E9" s="332">
        <v>9.4999999999999998E-3</v>
      </c>
      <c r="F9" s="332">
        <v>1.2E-2</v>
      </c>
      <c r="G9" s="332">
        <v>1.4500000000000001E-2</v>
      </c>
      <c r="H9" s="332">
        <v>1.7000000000000001E-2</v>
      </c>
      <c r="I9" s="333">
        <v>1.9500000000000003E-2</v>
      </c>
      <c r="K9" s="351">
        <v>1</v>
      </c>
      <c r="L9" s="351"/>
    </row>
    <row r="10" spans="1:12">
      <c r="A10" s="312">
        <f t="shared" ref="A10:A33" si="0">A9+1</f>
        <v>2</v>
      </c>
      <c r="B10" s="313">
        <v>2.0000000000000005E-3</v>
      </c>
      <c r="C10" s="335">
        <v>4.5000000000000005E-3</v>
      </c>
      <c r="D10" s="335">
        <v>7.0000000000000001E-3</v>
      </c>
      <c r="E10" s="335">
        <v>9.4999999999999998E-3</v>
      </c>
      <c r="F10" s="335">
        <v>1.2E-2</v>
      </c>
      <c r="G10" s="335">
        <v>1.4500000000000001E-2</v>
      </c>
      <c r="H10" s="335">
        <v>1.7000000000000001E-2</v>
      </c>
      <c r="I10" s="336">
        <v>1.9500000000000003E-2</v>
      </c>
      <c r="K10" s="351">
        <v>1</v>
      </c>
      <c r="L10" s="351"/>
    </row>
    <row r="11" spans="1:12">
      <c r="A11" s="312">
        <f t="shared" si="0"/>
        <v>3</v>
      </c>
      <c r="B11" s="313">
        <v>2.0000000000000005E-3</v>
      </c>
      <c r="C11" s="335">
        <v>4.5000000000000005E-3</v>
      </c>
      <c r="D11" s="335">
        <v>7.0000000000000001E-3</v>
      </c>
      <c r="E11" s="335">
        <v>9.4999999999999998E-3</v>
      </c>
      <c r="F11" s="335">
        <v>1.2E-2</v>
      </c>
      <c r="G11" s="335">
        <v>1.4500000000000001E-2</v>
      </c>
      <c r="H11" s="335">
        <v>1.7000000000000001E-2</v>
      </c>
      <c r="I11" s="336">
        <v>1.9500000000000003E-2</v>
      </c>
      <c r="K11" s="351">
        <v>1</v>
      </c>
      <c r="L11" s="351"/>
    </row>
    <row r="12" spans="1:12">
      <c r="A12" s="312">
        <f t="shared" si="0"/>
        <v>4</v>
      </c>
      <c r="B12" s="313">
        <v>2.0000000000000005E-3</v>
      </c>
      <c r="C12" s="335">
        <v>4.5000000000000005E-3</v>
      </c>
      <c r="D12" s="335">
        <v>7.0000000000000001E-3</v>
      </c>
      <c r="E12" s="335">
        <v>9.4999999999999998E-3</v>
      </c>
      <c r="F12" s="335">
        <v>1.2E-2</v>
      </c>
      <c r="G12" s="335">
        <v>1.4500000000000001E-2</v>
      </c>
      <c r="H12" s="335">
        <v>1.7000000000000001E-2</v>
      </c>
      <c r="I12" s="336">
        <v>1.9500000000000003E-2</v>
      </c>
      <c r="K12" s="351">
        <v>1</v>
      </c>
      <c r="L12" s="351"/>
    </row>
    <row r="13" spans="1:12">
      <c r="A13" s="312">
        <f t="shared" si="0"/>
        <v>5</v>
      </c>
      <c r="B13" s="313">
        <v>1.5500000000000006E-3</v>
      </c>
      <c r="C13" s="335">
        <v>4.0500000000000006E-3</v>
      </c>
      <c r="D13" s="335">
        <v>6.3000000000000009E-3</v>
      </c>
      <c r="E13" s="335">
        <v>8.550000000000002E-3</v>
      </c>
      <c r="F13" s="335">
        <v>1.0800000000000001E-2</v>
      </c>
      <c r="G13" s="335">
        <v>1.3050000000000003E-2</v>
      </c>
      <c r="H13" s="335">
        <v>1.5300000000000001E-2</v>
      </c>
      <c r="I13" s="336">
        <v>1.7550000000000003E-2</v>
      </c>
      <c r="K13" s="351">
        <v>0.90000000000000013</v>
      </c>
      <c r="L13" s="351"/>
    </row>
    <row r="14" spans="1:12">
      <c r="A14" s="312">
        <f t="shared" si="0"/>
        <v>6</v>
      </c>
      <c r="B14" s="313">
        <v>1.5500000000000006E-3</v>
      </c>
      <c r="C14" s="335">
        <v>4.0500000000000006E-3</v>
      </c>
      <c r="D14" s="335">
        <v>6.3000000000000009E-3</v>
      </c>
      <c r="E14" s="335">
        <v>8.550000000000002E-3</v>
      </c>
      <c r="F14" s="335">
        <v>1.0800000000000001E-2</v>
      </c>
      <c r="G14" s="335">
        <v>1.3050000000000003E-2</v>
      </c>
      <c r="H14" s="335">
        <v>1.5300000000000001E-2</v>
      </c>
      <c r="I14" s="336">
        <v>1.7550000000000003E-2</v>
      </c>
      <c r="K14" s="351">
        <v>0.90000000000000013</v>
      </c>
      <c r="L14" s="351"/>
    </row>
    <row r="15" spans="1:12">
      <c r="A15" s="312">
        <f t="shared" si="0"/>
        <v>7</v>
      </c>
      <c r="B15" s="313">
        <v>1.5500000000000006E-3</v>
      </c>
      <c r="C15" s="335">
        <v>4.0500000000000006E-3</v>
      </c>
      <c r="D15" s="335">
        <v>6.3000000000000009E-3</v>
      </c>
      <c r="E15" s="335">
        <v>8.550000000000002E-3</v>
      </c>
      <c r="F15" s="335">
        <v>1.0800000000000001E-2</v>
      </c>
      <c r="G15" s="335">
        <v>1.3050000000000003E-2</v>
      </c>
      <c r="H15" s="335">
        <v>1.5300000000000001E-2</v>
      </c>
      <c r="I15" s="336">
        <v>1.7550000000000003E-2</v>
      </c>
      <c r="K15" s="351">
        <v>0.90000000000000013</v>
      </c>
      <c r="L15" s="351"/>
    </row>
    <row r="16" spans="1:12">
      <c r="A16" s="312">
        <f t="shared" si="0"/>
        <v>8</v>
      </c>
      <c r="B16" s="313">
        <v>1.5500000000000006E-3</v>
      </c>
      <c r="C16" s="335">
        <v>4.0500000000000006E-3</v>
      </c>
      <c r="D16" s="335">
        <v>6.3000000000000009E-3</v>
      </c>
      <c r="E16" s="335">
        <v>8.550000000000002E-3</v>
      </c>
      <c r="F16" s="335">
        <v>1.0800000000000001E-2</v>
      </c>
      <c r="G16" s="335">
        <v>1.3050000000000003E-2</v>
      </c>
      <c r="H16" s="335">
        <v>1.5300000000000001E-2</v>
      </c>
      <c r="I16" s="336">
        <v>1.7550000000000003E-2</v>
      </c>
      <c r="K16" s="351">
        <v>0.90000000000000013</v>
      </c>
      <c r="L16" s="351"/>
    </row>
    <row r="17" spans="1:12">
      <c r="A17" s="312">
        <f t="shared" si="0"/>
        <v>9</v>
      </c>
      <c r="B17" s="313">
        <v>1.5500000000000006E-3</v>
      </c>
      <c r="C17" s="335">
        <v>4.0500000000000006E-3</v>
      </c>
      <c r="D17" s="335">
        <v>6.3000000000000009E-3</v>
      </c>
      <c r="E17" s="335">
        <v>8.550000000000002E-3</v>
      </c>
      <c r="F17" s="335">
        <v>1.0800000000000001E-2</v>
      </c>
      <c r="G17" s="335">
        <v>1.3050000000000003E-2</v>
      </c>
      <c r="H17" s="335">
        <v>1.5300000000000001E-2</v>
      </c>
      <c r="I17" s="336">
        <v>1.7550000000000003E-2</v>
      </c>
      <c r="K17" s="351">
        <v>0.90000000000000013</v>
      </c>
      <c r="L17" s="351"/>
    </row>
    <row r="18" spans="1:12">
      <c r="A18" s="312">
        <f t="shared" si="0"/>
        <v>10</v>
      </c>
      <c r="B18" s="313">
        <v>1.5500000000000006E-3</v>
      </c>
      <c r="C18" s="335">
        <v>4.0500000000000006E-3</v>
      </c>
      <c r="D18" s="335">
        <v>6.3000000000000009E-3</v>
      </c>
      <c r="E18" s="335">
        <v>8.550000000000002E-3</v>
      </c>
      <c r="F18" s="335">
        <v>1.0800000000000001E-2</v>
      </c>
      <c r="G18" s="335">
        <v>1.3050000000000003E-2</v>
      </c>
      <c r="H18" s="335">
        <v>1.5300000000000001E-2</v>
      </c>
      <c r="I18" s="336">
        <v>1.7550000000000003E-2</v>
      </c>
      <c r="K18" s="351">
        <v>0.90000000000000013</v>
      </c>
      <c r="L18" s="351"/>
    </row>
    <row r="19" spans="1:12">
      <c r="A19" s="312">
        <f t="shared" si="0"/>
        <v>11</v>
      </c>
      <c r="B19" s="328">
        <v>1.2400000000000007E-3</v>
      </c>
      <c r="C19" s="335">
        <v>3.2400000000000007E-3</v>
      </c>
      <c r="D19" s="335">
        <v>5.0400000000000011E-3</v>
      </c>
      <c r="E19" s="335">
        <v>6.8400000000000015E-3</v>
      </c>
      <c r="F19" s="335">
        <v>8.6400000000000018E-3</v>
      </c>
      <c r="G19" s="335">
        <v>1.0440000000000003E-2</v>
      </c>
      <c r="H19" s="335">
        <v>1.2240000000000003E-2</v>
      </c>
      <c r="I19" s="336">
        <v>1.4040000000000004E-2</v>
      </c>
      <c r="K19" s="351">
        <v>0.72000000000000008</v>
      </c>
      <c r="L19" s="351"/>
    </row>
    <row r="20" spans="1:12">
      <c r="A20" s="312">
        <f t="shared" si="0"/>
        <v>12</v>
      </c>
      <c r="B20" s="328">
        <v>9.9200000000000048E-4</v>
      </c>
      <c r="C20" s="335">
        <v>2.5920000000000006E-3</v>
      </c>
      <c r="D20" s="335">
        <v>4.0320000000000009E-3</v>
      </c>
      <c r="E20" s="335">
        <v>5.4720000000000012E-3</v>
      </c>
      <c r="F20" s="335">
        <v>6.9120000000000015E-3</v>
      </c>
      <c r="G20" s="335">
        <v>8.3520000000000018E-3</v>
      </c>
      <c r="H20" s="335">
        <v>9.7920000000000021E-3</v>
      </c>
      <c r="I20" s="336">
        <v>1.1232000000000004E-2</v>
      </c>
      <c r="K20" s="351">
        <v>0.57600000000000007</v>
      </c>
      <c r="L20" s="351"/>
    </row>
    <row r="21" spans="1:12">
      <c r="A21" s="312">
        <f t="shared" si="0"/>
        <v>13</v>
      </c>
      <c r="B21" s="328">
        <v>7.9360000000000042E-4</v>
      </c>
      <c r="C21" s="335">
        <v>2.0736000000000005E-3</v>
      </c>
      <c r="D21" s="335">
        <v>3.2256000000000008E-3</v>
      </c>
      <c r="E21" s="335">
        <v>4.3776000000000006E-3</v>
      </c>
      <c r="F21" s="335">
        <v>5.5296000000000008E-3</v>
      </c>
      <c r="G21" s="335">
        <v>6.6816000000000028E-3</v>
      </c>
      <c r="H21" s="335">
        <v>7.8336000000000013E-3</v>
      </c>
      <c r="I21" s="336">
        <v>8.9856000000000033E-3</v>
      </c>
      <c r="K21" s="351">
        <v>0.4608000000000001</v>
      </c>
      <c r="L21" s="351"/>
    </row>
    <row r="22" spans="1:12">
      <c r="A22" s="312">
        <f t="shared" si="0"/>
        <v>14</v>
      </c>
      <c r="B22" s="328">
        <v>6.3488000000000043E-4</v>
      </c>
      <c r="C22" s="335">
        <v>1.6588800000000006E-3</v>
      </c>
      <c r="D22" s="335">
        <v>2.5804800000000009E-3</v>
      </c>
      <c r="E22" s="335">
        <v>3.5020800000000012E-3</v>
      </c>
      <c r="F22" s="335">
        <v>4.423680000000001E-3</v>
      </c>
      <c r="G22" s="335">
        <v>5.3452800000000026E-3</v>
      </c>
      <c r="H22" s="335">
        <v>6.2668800000000024E-3</v>
      </c>
      <c r="I22" s="336">
        <v>7.188480000000004E-3</v>
      </c>
      <c r="K22" s="351">
        <v>0.36864000000000008</v>
      </c>
      <c r="L22" s="351"/>
    </row>
    <row r="23" spans="1:12">
      <c r="A23" s="312">
        <f t="shared" si="0"/>
        <v>15</v>
      </c>
      <c r="B23" s="328">
        <v>5.0790400000000032E-4</v>
      </c>
      <c r="C23" s="335">
        <v>1.3271040000000006E-3</v>
      </c>
      <c r="D23" s="335">
        <v>2.0643840000000007E-3</v>
      </c>
      <c r="E23" s="335">
        <v>2.8016640000000015E-3</v>
      </c>
      <c r="F23" s="335">
        <v>3.5389440000000013E-3</v>
      </c>
      <c r="G23" s="335">
        <v>4.2762240000000021E-3</v>
      </c>
      <c r="H23" s="335">
        <v>5.013504000000002E-3</v>
      </c>
      <c r="I23" s="336">
        <v>5.7507840000000027E-3</v>
      </c>
      <c r="K23" s="351">
        <v>0.29491200000000012</v>
      </c>
      <c r="L23" s="351"/>
    </row>
    <row r="24" spans="1:12">
      <c r="A24" s="312">
        <f t="shared" si="0"/>
        <v>16</v>
      </c>
      <c r="B24" s="328">
        <v>4.0632320000000028E-4</v>
      </c>
      <c r="C24" s="318">
        <v>1.4681250000000002E-3</v>
      </c>
      <c r="D24" s="318">
        <v>2.2837500000000002E-3</v>
      </c>
      <c r="E24" s="318">
        <v>3.0993750000000006E-3</v>
      </c>
      <c r="F24" s="318">
        <v>3.9150000000000009E-3</v>
      </c>
      <c r="G24" s="318">
        <v>4.7306250000000013E-3</v>
      </c>
      <c r="H24" s="318">
        <v>5.5462500000000008E-3</v>
      </c>
      <c r="I24" s="319">
        <v>6.3618750000000012E-3</v>
      </c>
      <c r="K24" s="351">
        <v>0.2359296000000001</v>
      </c>
      <c r="L24" s="351"/>
    </row>
    <row r="25" spans="1:12">
      <c r="A25" s="312">
        <f t="shared" si="0"/>
        <v>17</v>
      </c>
      <c r="B25" s="328">
        <v>3.2505856000000023E-4</v>
      </c>
      <c r="C25" s="335">
        <v>4.5562500000000008E-4</v>
      </c>
      <c r="D25" s="335">
        <v>7.0875000000000007E-4</v>
      </c>
      <c r="E25" s="335">
        <v>9.6187500000000006E-4</v>
      </c>
      <c r="F25" s="335">
        <v>1.2150000000000002E-3</v>
      </c>
      <c r="G25" s="335">
        <v>1.4681250000000002E-3</v>
      </c>
      <c r="H25" s="335">
        <v>1.7212500000000001E-3</v>
      </c>
      <c r="I25" s="336">
        <v>1.9743750000000004E-3</v>
      </c>
      <c r="K25" s="351">
        <v>0.10125000000000002</v>
      </c>
      <c r="L25" s="351"/>
    </row>
    <row r="26" spans="1:12">
      <c r="A26" s="312">
        <f t="shared" si="0"/>
        <v>18</v>
      </c>
      <c r="B26" s="328">
        <v>2.6004684800000019E-4</v>
      </c>
      <c r="C26" s="335">
        <v>3.6450000000000008E-4</v>
      </c>
      <c r="D26" s="335">
        <v>5.6700000000000012E-4</v>
      </c>
      <c r="E26" s="335">
        <v>7.6950000000000011E-4</v>
      </c>
      <c r="F26" s="335">
        <v>9.7200000000000021E-4</v>
      </c>
      <c r="G26" s="335">
        <v>1.1745000000000002E-3</v>
      </c>
      <c r="H26" s="335">
        <v>1.3770000000000002E-3</v>
      </c>
      <c r="I26" s="336">
        <v>1.5795000000000004E-3</v>
      </c>
      <c r="K26" s="351">
        <v>0</v>
      </c>
      <c r="L26" s="351"/>
    </row>
    <row r="27" spans="1:12">
      <c r="A27" s="312">
        <f t="shared" si="0"/>
        <v>19</v>
      </c>
      <c r="B27" s="328">
        <v>2.0803747840000017E-4</v>
      </c>
      <c r="C27" s="335">
        <v>2.9160000000000009E-4</v>
      </c>
      <c r="D27" s="335">
        <v>4.5360000000000013E-4</v>
      </c>
      <c r="E27" s="335">
        <v>6.1560000000000011E-4</v>
      </c>
      <c r="F27" s="335">
        <v>7.7760000000000025E-4</v>
      </c>
      <c r="G27" s="335">
        <v>9.3960000000000018E-4</v>
      </c>
      <c r="H27" s="335">
        <v>1.1016000000000001E-3</v>
      </c>
      <c r="I27" s="336">
        <v>1.2636000000000004E-3</v>
      </c>
      <c r="K27" s="351">
        <v>0</v>
      </c>
      <c r="L27" s="351"/>
    </row>
    <row r="28" spans="1:12">
      <c r="A28" s="312">
        <f t="shared" si="0"/>
        <v>20</v>
      </c>
      <c r="B28" s="328">
        <v>1.6642998272000016E-4</v>
      </c>
      <c r="C28" s="335">
        <v>2.332800000000001E-4</v>
      </c>
      <c r="D28" s="335">
        <v>3.628800000000001E-4</v>
      </c>
      <c r="E28" s="335">
        <v>4.9248000000000011E-4</v>
      </c>
      <c r="F28" s="335">
        <v>6.2208000000000022E-4</v>
      </c>
      <c r="G28" s="335">
        <v>7.5168000000000023E-4</v>
      </c>
      <c r="H28" s="335">
        <v>8.8128000000000013E-4</v>
      </c>
      <c r="I28" s="336">
        <v>1.0108800000000002E-3</v>
      </c>
      <c r="K28" s="351">
        <v>0</v>
      </c>
      <c r="L28" s="351"/>
    </row>
    <row r="29" spans="1:12">
      <c r="A29" s="312">
        <f t="shared" si="0"/>
        <v>21</v>
      </c>
      <c r="B29" s="328">
        <v>1.3314398617600014E-4</v>
      </c>
      <c r="C29" s="318">
        <v>1.8662400000000009E-4</v>
      </c>
      <c r="D29" s="318">
        <v>2.9030400000000007E-4</v>
      </c>
      <c r="E29" s="318">
        <v>3.9398400000000011E-4</v>
      </c>
      <c r="F29" s="318">
        <v>4.976640000000002E-4</v>
      </c>
      <c r="G29" s="318">
        <v>6.0134400000000018E-4</v>
      </c>
      <c r="H29" s="318">
        <v>7.0502400000000017E-4</v>
      </c>
      <c r="I29" s="319">
        <v>8.0870400000000026E-4</v>
      </c>
      <c r="K29" s="351">
        <v>0</v>
      </c>
      <c r="L29" s="351"/>
    </row>
    <row r="30" spans="1:12">
      <c r="A30" s="312">
        <f t="shared" si="0"/>
        <v>22</v>
      </c>
      <c r="B30" s="328">
        <v>1.0651518894080012E-4</v>
      </c>
      <c r="C30" s="318">
        <v>1.4929920000000008E-4</v>
      </c>
      <c r="D30" s="318">
        <v>2.3224320000000007E-4</v>
      </c>
      <c r="E30" s="318">
        <v>3.151872000000001E-4</v>
      </c>
      <c r="F30" s="318">
        <v>3.981312000000002E-4</v>
      </c>
      <c r="G30" s="318">
        <v>4.8107520000000015E-4</v>
      </c>
      <c r="H30" s="318">
        <v>5.640192000000002E-4</v>
      </c>
      <c r="I30" s="319">
        <v>6.4696320000000025E-4</v>
      </c>
      <c r="K30" s="351">
        <v>0</v>
      </c>
      <c r="L30" s="351"/>
    </row>
    <row r="31" spans="1:12">
      <c r="A31" s="312">
        <f t="shared" si="0"/>
        <v>23</v>
      </c>
      <c r="B31" s="328">
        <v>8.5212151152640097E-5</v>
      </c>
      <c r="C31" s="318">
        <v>1.1943936000000007E-4</v>
      </c>
      <c r="D31" s="318">
        <v>1.8579456000000007E-4</v>
      </c>
      <c r="E31" s="318">
        <v>2.5214976000000007E-4</v>
      </c>
      <c r="F31" s="318">
        <v>3.1850496000000017E-4</v>
      </c>
      <c r="G31" s="318">
        <v>3.8486016000000012E-4</v>
      </c>
      <c r="H31" s="318">
        <v>4.5121536000000017E-4</v>
      </c>
      <c r="I31" s="319">
        <v>5.1757056000000022E-4</v>
      </c>
      <c r="K31" s="351">
        <v>0</v>
      </c>
      <c r="L31" s="351"/>
    </row>
    <row r="32" spans="1:12">
      <c r="A32" s="312">
        <f t="shared" si="0"/>
        <v>24</v>
      </c>
      <c r="B32" s="328">
        <v>6.8169720922112078E-5</v>
      </c>
      <c r="C32" s="318">
        <v>9.5551488000000063E-5</v>
      </c>
      <c r="D32" s="318">
        <v>1.4863564800000006E-4</v>
      </c>
      <c r="E32" s="318">
        <v>2.0171980800000008E-4</v>
      </c>
      <c r="F32" s="318">
        <v>2.5480396800000015E-4</v>
      </c>
      <c r="G32" s="318">
        <v>3.0788812800000012E-4</v>
      </c>
      <c r="H32" s="318">
        <v>3.6097228800000014E-4</v>
      </c>
      <c r="I32" s="319">
        <v>4.1405644800000021E-4</v>
      </c>
      <c r="K32" s="351">
        <v>0</v>
      </c>
      <c r="L32" s="351"/>
    </row>
    <row r="33" spans="1:12">
      <c r="A33" s="320">
        <f t="shared" si="0"/>
        <v>25</v>
      </c>
      <c r="B33" s="329">
        <v>5.4535776737689662E-5</v>
      </c>
      <c r="C33" s="322">
        <v>7.6441190400000056E-5</v>
      </c>
      <c r="D33" s="322">
        <v>1.1890851840000004E-4</v>
      </c>
      <c r="E33" s="322">
        <v>1.6137584640000006E-4</v>
      </c>
      <c r="F33" s="322">
        <v>2.0384317440000013E-4</v>
      </c>
      <c r="G33" s="322">
        <v>2.4631050240000009E-4</v>
      </c>
      <c r="H33" s="322">
        <v>2.8877783040000011E-4</v>
      </c>
      <c r="I33" s="323">
        <v>3.3124515840000018E-4</v>
      </c>
      <c r="K33" s="351">
        <v>0</v>
      </c>
      <c r="L33" s="351"/>
    </row>
    <row r="35" spans="1:12">
      <c r="A35" s="305" t="s">
        <v>154</v>
      </c>
      <c r="B35" s="327"/>
      <c r="C35" s="327"/>
      <c r="D35" s="327"/>
      <c r="E35" s="327"/>
      <c r="F35" s="327"/>
      <c r="G35" s="327"/>
      <c r="H35" s="327"/>
      <c r="I35" s="327"/>
    </row>
    <row r="36" spans="1:12">
      <c r="A36" s="305" t="s">
        <v>153</v>
      </c>
      <c r="B36" s="327"/>
      <c r="C36" s="327"/>
      <c r="D36" s="327"/>
      <c r="E36" s="327"/>
      <c r="F36" s="327"/>
      <c r="G36" s="327"/>
      <c r="H36" s="327"/>
      <c r="I36" s="327"/>
    </row>
    <row r="37" spans="1:12">
      <c r="B37" s="327"/>
      <c r="C37" s="327"/>
      <c r="D37" s="327"/>
      <c r="E37" s="327"/>
      <c r="F37" s="327"/>
      <c r="G37" s="327"/>
      <c r="H37" s="327"/>
      <c r="I37" s="327"/>
    </row>
    <row r="38" spans="1:12">
      <c r="A38" s="324" t="s">
        <v>157</v>
      </c>
    </row>
    <row r="39" spans="1:12">
      <c r="A39" s="305" t="s">
        <v>155</v>
      </c>
    </row>
    <row r="40" spans="1:12">
      <c r="A40" s="305" t="s">
        <v>160</v>
      </c>
    </row>
    <row r="42" spans="1:12">
      <c r="A42" s="324" t="s">
        <v>158</v>
      </c>
    </row>
    <row r="43" spans="1:12">
      <c r="A43" s="305" t="s">
        <v>159</v>
      </c>
    </row>
  </sheetData>
  <mergeCells count="1">
    <mergeCell ref="B7:I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5354-EFC7-4B97-A54A-A95D4C830AB1}">
  <sheetPr>
    <tabColor rgb="FF00B050"/>
  </sheetPr>
  <dimension ref="A2:M46"/>
  <sheetViews>
    <sheetView workbookViewId="0">
      <selection sqref="A1:XFD1048576"/>
    </sheetView>
  </sheetViews>
  <sheetFormatPr defaultColWidth="8.875" defaultRowHeight="14.25"/>
  <cols>
    <col min="1" max="9" width="11.25" style="305" customWidth="1"/>
    <col min="10" max="11" width="12" style="305" customWidth="1"/>
    <col min="12" max="12" width="13.75" style="305" bestFit="1" customWidth="1"/>
    <col min="13" max="13" width="21.375" style="305" bestFit="1" customWidth="1"/>
    <col min="14" max="18" width="12" style="305" customWidth="1"/>
    <col min="19" max="16384" width="8.875" style="305"/>
  </cols>
  <sheetData>
    <row r="2" spans="1:9" ht="15">
      <c r="A2" s="250" t="s">
        <v>144</v>
      </c>
      <c r="B2" s="250"/>
    </row>
    <row r="3" spans="1:9">
      <c r="A3" s="305" t="s">
        <v>118</v>
      </c>
    </row>
    <row r="4" spans="1:9">
      <c r="A4" s="305" t="s">
        <v>119</v>
      </c>
    </row>
    <row r="5" spans="1:9">
      <c r="A5" s="305" t="s">
        <v>120</v>
      </c>
    </row>
    <row r="6" spans="1:9">
      <c r="A6" s="305" t="s">
        <v>48</v>
      </c>
    </row>
    <row r="7" spans="1:9">
      <c r="A7" s="305" t="s">
        <v>121</v>
      </c>
    </row>
    <row r="9" spans="1:9">
      <c r="A9" s="305" t="s">
        <v>125</v>
      </c>
    </row>
    <row r="10" spans="1:9">
      <c r="A10" s="305" t="s">
        <v>162</v>
      </c>
    </row>
    <row r="11" spans="1:9">
      <c r="A11" s="305" t="s">
        <v>161</v>
      </c>
    </row>
    <row r="13" spans="1:9" ht="14.25" customHeight="1">
      <c r="A13" s="306"/>
      <c r="B13" s="307" t="s">
        <v>89</v>
      </c>
      <c r="C13" s="308"/>
      <c r="D13" s="308"/>
      <c r="E13" s="308"/>
      <c r="F13" s="308"/>
      <c r="G13" s="308"/>
      <c r="H13" s="308"/>
      <c r="I13" s="309"/>
    </row>
    <row r="14" spans="1:9" ht="15">
      <c r="A14" s="311" t="s">
        <v>1</v>
      </c>
      <c r="B14" s="256">
        <v>0</v>
      </c>
      <c r="C14" s="257">
        <v>2.5000000000000001E-3</v>
      </c>
      <c r="D14" s="257">
        <v>5.0000000000000001E-3</v>
      </c>
      <c r="E14" s="257">
        <v>7.4999999999999997E-3</v>
      </c>
      <c r="F14" s="257">
        <v>0.01</v>
      </c>
      <c r="G14" s="257">
        <v>1.2500000000000001E-2</v>
      </c>
      <c r="H14" s="257">
        <v>1.4999999999999999E-2</v>
      </c>
      <c r="I14" s="258">
        <v>1.7500000000000002E-2</v>
      </c>
    </row>
    <row r="15" spans="1:9">
      <c r="A15" s="312">
        <v>1</v>
      </c>
      <c r="B15" s="325">
        <v>5.0000000000000001E-4</v>
      </c>
      <c r="C15" s="318">
        <v>3.0000000000000001E-3</v>
      </c>
      <c r="D15" s="318">
        <v>5.4999999999999997E-3</v>
      </c>
      <c r="E15" s="318">
        <v>8.0000000000000002E-3</v>
      </c>
      <c r="F15" s="318">
        <v>1.0500000000000001E-2</v>
      </c>
      <c r="G15" s="318">
        <v>1.3000000000000001E-2</v>
      </c>
      <c r="H15" s="318">
        <v>1.55E-2</v>
      </c>
      <c r="I15" s="319">
        <v>1.8000000000000002E-2</v>
      </c>
    </row>
    <row r="16" spans="1:9">
      <c r="A16" s="312">
        <f>A15+1</f>
        <v>2</v>
      </c>
      <c r="B16" s="328">
        <v>5.0000000000000001E-4</v>
      </c>
      <c r="C16" s="318">
        <v>3.0000000000000001E-3</v>
      </c>
      <c r="D16" s="318">
        <v>5.4999999999999997E-3</v>
      </c>
      <c r="E16" s="318">
        <v>8.0000000000000002E-3</v>
      </c>
      <c r="F16" s="318">
        <v>1.0500000000000001E-2</v>
      </c>
      <c r="G16" s="318">
        <v>1.3000000000000001E-2</v>
      </c>
      <c r="H16" s="318">
        <v>1.55E-2</v>
      </c>
      <c r="I16" s="319">
        <v>1.8000000000000002E-2</v>
      </c>
    </row>
    <row r="17" spans="1:13">
      <c r="A17" s="312">
        <f t="shared" ref="A17:A39" si="0">A16+1</f>
        <v>3</v>
      </c>
      <c r="B17" s="328">
        <v>5.0000000000000001E-4</v>
      </c>
      <c r="C17" s="318">
        <v>3.0000000000000001E-3</v>
      </c>
      <c r="D17" s="318">
        <v>5.4999999999999997E-3</v>
      </c>
      <c r="E17" s="318">
        <v>8.0000000000000002E-3</v>
      </c>
      <c r="F17" s="318">
        <v>1.0500000000000001E-2</v>
      </c>
      <c r="G17" s="318">
        <v>1.3000000000000001E-2</v>
      </c>
      <c r="H17" s="318">
        <v>1.55E-2</v>
      </c>
      <c r="I17" s="319">
        <v>1.8000000000000002E-2</v>
      </c>
    </row>
    <row r="18" spans="1:13">
      <c r="A18" s="312">
        <f t="shared" si="0"/>
        <v>4</v>
      </c>
      <c r="B18" s="328">
        <v>5.0000000000000001E-4</v>
      </c>
      <c r="C18" s="318">
        <v>3.0000000000000001E-3</v>
      </c>
      <c r="D18" s="318">
        <v>5.4999999999999997E-3</v>
      </c>
      <c r="E18" s="318">
        <v>8.0000000000000002E-3</v>
      </c>
      <c r="F18" s="318">
        <v>1.0500000000000001E-2</v>
      </c>
      <c r="G18" s="318">
        <v>1.3000000000000001E-2</v>
      </c>
      <c r="H18" s="318">
        <v>1.55E-2</v>
      </c>
      <c r="I18" s="319">
        <v>1.8000000000000002E-2</v>
      </c>
      <c r="M18" s="352"/>
    </row>
    <row r="19" spans="1:13">
      <c r="A19" s="312">
        <f t="shared" si="0"/>
        <v>5</v>
      </c>
      <c r="B19" s="328">
        <v>5.0000000000000001E-4</v>
      </c>
      <c r="C19" s="318">
        <v>3.0000000000000001E-3</v>
      </c>
      <c r="D19" s="318">
        <v>5.4999999999999997E-3</v>
      </c>
      <c r="E19" s="318">
        <v>8.0000000000000002E-3</v>
      </c>
      <c r="F19" s="318">
        <v>1.0500000000000001E-2</v>
      </c>
      <c r="G19" s="318">
        <v>1.3000000000000001E-2</v>
      </c>
      <c r="H19" s="318">
        <v>1.55E-2</v>
      </c>
      <c r="I19" s="319">
        <v>1.8000000000000002E-2</v>
      </c>
      <c r="M19" s="352"/>
    </row>
    <row r="20" spans="1:13">
      <c r="A20" s="312">
        <f t="shared" si="0"/>
        <v>6</v>
      </c>
      <c r="B20" s="328">
        <v>5.0000000000000001E-4</v>
      </c>
      <c r="C20" s="318">
        <v>3.0000000000000001E-3</v>
      </c>
      <c r="D20" s="318">
        <v>5.4999999999999997E-3</v>
      </c>
      <c r="E20" s="318">
        <v>8.0000000000000002E-3</v>
      </c>
      <c r="F20" s="318">
        <v>1.0500000000000001E-2</v>
      </c>
      <c r="G20" s="318">
        <v>1.3000000000000001E-2</v>
      </c>
      <c r="H20" s="318">
        <v>1.55E-2</v>
      </c>
      <c r="I20" s="319">
        <v>1.8000000000000002E-2</v>
      </c>
    </row>
    <row r="21" spans="1:13">
      <c r="A21" s="312">
        <f t="shared" si="0"/>
        <v>7</v>
      </c>
      <c r="B21" s="328">
        <v>5.0000000000000001E-4</v>
      </c>
      <c r="C21" s="318">
        <v>3.0000000000000001E-3</v>
      </c>
      <c r="D21" s="318">
        <v>5.4999999999999997E-3</v>
      </c>
      <c r="E21" s="318">
        <v>8.0000000000000002E-3</v>
      </c>
      <c r="F21" s="318">
        <v>1.0500000000000001E-2</v>
      </c>
      <c r="G21" s="318">
        <v>1.3000000000000001E-2</v>
      </c>
      <c r="H21" s="318">
        <v>1.55E-2</v>
      </c>
      <c r="I21" s="319">
        <v>1.8000000000000002E-2</v>
      </c>
    </row>
    <row r="22" spans="1:13">
      <c r="A22" s="312">
        <f t="shared" si="0"/>
        <v>8</v>
      </c>
      <c r="B22" s="328">
        <v>5.0000000000000001E-4</v>
      </c>
      <c r="C22" s="318">
        <v>3.0000000000000001E-3</v>
      </c>
      <c r="D22" s="318">
        <v>5.4999999999999997E-3</v>
      </c>
      <c r="E22" s="318">
        <v>8.0000000000000002E-3</v>
      </c>
      <c r="F22" s="318">
        <v>1.0500000000000001E-2</v>
      </c>
      <c r="G22" s="318">
        <v>1.3000000000000001E-2</v>
      </c>
      <c r="H22" s="318">
        <v>1.55E-2</v>
      </c>
      <c r="I22" s="319">
        <v>1.8000000000000002E-2</v>
      </c>
    </row>
    <row r="23" spans="1:13">
      <c r="A23" s="312">
        <f t="shared" si="0"/>
        <v>9</v>
      </c>
      <c r="B23" s="328">
        <v>5.0000000000000001E-4</v>
      </c>
      <c r="C23" s="318">
        <v>3.0000000000000001E-3</v>
      </c>
      <c r="D23" s="318">
        <v>5.4999999999999997E-3</v>
      </c>
      <c r="E23" s="318">
        <v>8.0000000000000002E-3</v>
      </c>
      <c r="F23" s="318">
        <v>1.0500000000000001E-2</v>
      </c>
      <c r="G23" s="318">
        <v>1.3000000000000001E-2</v>
      </c>
      <c r="H23" s="318">
        <v>1.55E-2</v>
      </c>
      <c r="I23" s="319">
        <v>1.8000000000000002E-2</v>
      </c>
    </row>
    <row r="24" spans="1:13">
      <c r="A24" s="312">
        <f t="shared" si="0"/>
        <v>10</v>
      </c>
      <c r="B24" s="328">
        <v>5.0000000000000001E-4</v>
      </c>
      <c r="C24" s="318">
        <v>3.0000000000000001E-3</v>
      </c>
      <c r="D24" s="318">
        <v>5.4999999999999997E-3</v>
      </c>
      <c r="E24" s="318">
        <v>8.0000000000000002E-3</v>
      </c>
      <c r="F24" s="318">
        <v>1.0500000000000001E-2</v>
      </c>
      <c r="G24" s="318">
        <v>1.3000000000000001E-2</v>
      </c>
      <c r="H24" s="318">
        <v>1.55E-2</v>
      </c>
      <c r="I24" s="319">
        <v>1.8000000000000002E-2</v>
      </c>
    </row>
    <row r="25" spans="1:13">
      <c r="A25" s="312">
        <f t="shared" si="0"/>
        <v>11</v>
      </c>
      <c r="B25" s="328">
        <v>5.0000000000000001E-4</v>
      </c>
      <c r="C25" s="318">
        <v>3.0000000000000001E-3</v>
      </c>
      <c r="D25" s="318">
        <v>5.4999999999999997E-3</v>
      </c>
      <c r="E25" s="318">
        <v>8.0000000000000002E-3</v>
      </c>
      <c r="F25" s="318">
        <v>1.0500000000000001E-2</v>
      </c>
      <c r="G25" s="318">
        <v>1.3000000000000001E-2</v>
      </c>
      <c r="H25" s="318">
        <v>1.55E-2</v>
      </c>
      <c r="I25" s="319">
        <v>1.8000000000000002E-2</v>
      </c>
    </row>
    <row r="26" spans="1:13">
      <c r="A26" s="312">
        <f t="shared" si="0"/>
        <v>12</v>
      </c>
      <c r="B26" s="328">
        <v>5.0000000000000001E-4</v>
      </c>
      <c r="C26" s="318">
        <v>3.0000000000000001E-3</v>
      </c>
      <c r="D26" s="318">
        <v>5.4999999999999997E-3</v>
      </c>
      <c r="E26" s="318">
        <v>8.0000000000000002E-3</v>
      </c>
      <c r="F26" s="318">
        <v>1.0500000000000001E-2</v>
      </c>
      <c r="G26" s="318">
        <v>1.3000000000000001E-2</v>
      </c>
      <c r="H26" s="318">
        <v>1.55E-2</v>
      </c>
      <c r="I26" s="319">
        <v>1.8000000000000002E-2</v>
      </c>
    </row>
    <row r="27" spans="1:13">
      <c r="A27" s="312">
        <f t="shared" si="0"/>
        <v>13</v>
      </c>
      <c r="B27" s="328">
        <v>5.0000000000000001E-4</v>
      </c>
      <c r="C27" s="318">
        <v>3.0000000000000001E-3</v>
      </c>
      <c r="D27" s="318">
        <v>5.4999999999999997E-3</v>
      </c>
      <c r="E27" s="318">
        <v>8.0000000000000002E-3</v>
      </c>
      <c r="F27" s="318">
        <v>1.0500000000000001E-2</v>
      </c>
      <c r="G27" s="318">
        <v>1.3000000000000001E-2</v>
      </c>
      <c r="H27" s="318">
        <v>1.55E-2</v>
      </c>
      <c r="I27" s="319">
        <v>1.8000000000000002E-2</v>
      </c>
    </row>
    <row r="28" spans="1:13">
      <c r="A28" s="312">
        <f t="shared" si="0"/>
        <v>14</v>
      </c>
      <c r="B28" s="328">
        <v>5.0000000000000001E-4</v>
      </c>
      <c r="C28" s="318">
        <v>3.0000000000000001E-3</v>
      </c>
      <c r="D28" s="318">
        <v>5.4999999999999997E-3</v>
      </c>
      <c r="E28" s="318">
        <v>8.0000000000000002E-3</v>
      </c>
      <c r="F28" s="318">
        <v>1.0500000000000001E-2</v>
      </c>
      <c r="G28" s="318">
        <v>1.3000000000000001E-2</v>
      </c>
      <c r="H28" s="318">
        <v>1.55E-2</v>
      </c>
      <c r="I28" s="319">
        <v>1.8000000000000002E-2</v>
      </c>
    </row>
    <row r="29" spans="1:13">
      <c r="A29" s="312">
        <f>A28+1</f>
        <v>15</v>
      </c>
      <c r="B29" s="328">
        <v>5.0000000000000001E-4</v>
      </c>
      <c r="C29" s="318">
        <v>3.0000000000000001E-3</v>
      </c>
      <c r="D29" s="318">
        <v>5.4999999999999997E-3</v>
      </c>
      <c r="E29" s="318">
        <v>8.0000000000000002E-3</v>
      </c>
      <c r="F29" s="318">
        <v>1.0500000000000001E-2</v>
      </c>
      <c r="G29" s="318">
        <v>1.3000000000000001E-2</v>
      </c>
      <c r="H29" s="318">
        <v>1.55E-2</v>
      </c>
      <c r="I29" s="319">
        <v>1.8000000000000002E-2</v>
      </c>
    </row>
    <row r="30" spans="1:13">
      <c r="A30" s="312">
        <f t="shared" si="0"/>
        <v>16</v>
      </c>
      <c r="B30" s="328">
        <v>5.0000000000000001E-4</v>
      </c>
      <c r="C30" s="318">
        <v>3.0000000000000001E-3</v>
      </c>
      <c r="D30" s="318">
        <v>5.4999999999999997E-3</v>
      </c>
      <c r="E30" s="318">
        <v>8.0000000000000002E-3</v>
      </c>
      <c r="F30" s="318">
        <v>1.0500000000000001E-2</v>
      </c>
      <c r="G30" s="318">
        <v>1.3000000000000001E-2</v>
      </c>
      <c r="H30" s="318">
        <v>1.55E-2</v>
      </c>
      <c r="I30" s="319">
        <v>1.8000000000000002E-2</v>
      </c>
    </row>
    <row r="31" spans="1:13">
      <c r="A31" s="312">
        <f t="shared" si="0"/>
        <v>17</v>
      </c>
      <c r="B31" s="328">
        <v>5.0000000000000001E-4</v>
      </c>
      <c r="C31" s="318">
        <v>3.0000000000000001E-3</v>
      </c>
      <c r="D31" s="318">
        <v>5.4999999999999997E-3</v>
      </c>
      <c r="E31" s="318">
        <v>8.0000000000000002E-3</v>
      </c>
      <c r="F31" s="318">
        <v>1.0500000000000001E-2</v>
      </c>
      <c r="G31" s="318">
        <v>1.3000000000000001E-2</v>
      </c>
      <c r="H31" s="318">
        <v>1.55E-2</v>
      </c>
      <c r="I31" s="319">
        <v>1.8000000000000002E-2</v>
      </c>
    </row>
    <row r="32" spans="1:13">
      <c r="A32" s="312">
        <f t="shared" si="0"/>
        <v>18</v>
      </c>
      <c r="B32" s="328">
        <v>5.0000000000000001E-4</v>
      </c>
      <c r="C32" s="318">
        <v>3.0000000000000001E-3</v>
      </c>
      <c r="D32" s="318">
        <v>5.4999999999999997E-3</v>
      </c>
      <c r="E32" s="318">
        <v>8.0000000000000002E-3</v>
      </c>
      <c r="F32" s="318">
        <v>1.0500000000000001E-2</v>
      </c>
      <c r="G32" s="318">
        <v>1.3000000000000001E-2</v>
      </c>
      <c r="H32" s="318">
        <v>1.55E-2</v>
      </c>
      <c r="I32" s="319">
        <v>1.8000000000000002E-2</v>
      </c>
    </row>
    <row r="33" spans="1:9">
      <c r="A33" s="312">
        <f t="shared" si="0"/>
        <v>19</v>
      </c>
      <c r="B33" s="328">
        <v>5.0000000000000001E-4</v>
      </c>
      <c r="C33" s="318">
        <v>3.0000000000000001E-3</v>
      </c>
      <c r="D33" s="318">
        <v>5.4999999999999997E-3</v>
      </c>
      <c r="E33" s="318">
        <v>8.0000000000000002E-3</v>
      </c>
      <c r="F33" s="318">
        <v>1.0500000000000001E-2</v>
      </c>
      <c r="G33" s="318">
        <v>1.3000000000000001E-2</v>
      </c>
      <c r="H33" s="318">
        <v>1.55E-2</v>
      </c>
      <c r="I33" s="319">
        <v>1.8000000000000002E-2</v>
      </c>
    </row>
    <row r="34" spans="1:9">
      <c r="A34" s="312">
        <f t="shared" si="0"/>
        <v>20</v>
      </c>
      <c r="B34" s="328">
        <v>5.0000000000000001E-4</v>
      </c>
      <c r="C34" s="318">
        <v>3.0000000000000001E-3</v>
      </c>
      <c r="D34" s="318">
        <v>5.4999999999999997E-3</v>
      </c>
      <c r="E34" s="318">
        <v>8.0000000000000002E-3</v>
      </c>
      <c r="F34" s="318">
        <v>1.0500000000000001E-2</v>
      </c>
      <c r="G34" s="318">
        <v>1.3000000000000001E-2</v>
      </c>
      <c r="H34" s="318">
        <v>1.55E-2</v>
      </c>
      <c r="I34" s="319">
        <v>1.8000000000000002E-2</v>
      </c>
    </row>
    <row r="35" spans="1:9">
      <c r="A35" s="312">
        <f t="shared" si="0"/>
        <v>21</v>
      </c>
      <c r="B35" s="328">
        <v>5.0000000000000001E-4</v>
      </c>
      <c r="C35" s="318">
        <v>3.0000000000000001E-3</v>
      </c>
      <c r="D35" s="318">
        <v>5.4999999999999997E-3</v>
      </c>
      <c r="E35" s="318">
        <v>8.0000000000000002E-3</v>
      </c>
      <c r="F35" s="318">
        <v>1.0500000000000001E-2</v>
      </c>
      <c r="G35" s="318">
        <v>1.3000000000000001E-2</v>
      </c>
      <c r="H35" s="318">
        <v>1.55E-2</v>
      </c>
      <c r="I35" s="319">
        <v>1.8000000000000002E-2</v>
      </c>
    </row>
    <row r="36" spans="1:9">
      <c r="A36" s="312">
        <f t="shared" si="0"/>
        <v>22</v>
      </c>
      <c r="B36" s="328">
        <v>5.0000000000000001E-4</v>
      </c>
      <c r="C36" s="318">
        <v>3.0000000000000001E-3</v>
      </c>
      <c r="D36" s="318">
        <v>5.4999999999999997E-3</v>
      </c>
      <c r="E36" s="318">
        <v>8.0000000000000002E-3</v>
      </c>
      <c r="F36" s="318">
        <v>1.0500000000000001E-2</v>
      </c>
      <c r="G36" s="318">
        <v>1.3000000000000001E-2</v>
      </c>
      <c r="H36" s="318">
        <v>1.55E-2</v>
      </c>
      <c r="I36" s="319">
        <v>1.8000000000000002E-2</v>
      </c>
    </row>
    <row r="37" spans="1:9">
      <c r="A37" s="312">
        <f t="shared" si="0"/>
        <v>23</v>
      </c>
      <c r="B37" s="328">
        <v>5.0000000000000001E-4</v>
      </c>
      <c r="C37" s="318">
        <v>3.0000000000000001E-3</v>
      </c>
      <c r="D37" s="318">
        <v>5.4999999999999997E-3</v>
      </c>
      <c r="E37" s="318">
        <v>8.0000000000000002E-3</v>
      </c>
      <c r="F37" s="318">
        <v>1.0500000000000001E-2</v>
      </c>
      <c r="G37" s="318">
        <v>1.3000000000000001E-2</v>
      </c>
      <c r="H37" s="318">
        <v>1.55E-2</v>
      </c>
      <c r="I37" s="319">
        <v>1.8000000000000002E-2</v>
      </c>
    </row>
    <row r="38" spans="1:9">
      <c r="A38" s="312">
        <f t="shared" si="0"/>
        <v>24</v>
      </c>
      <c r="B38" s="328">
        <v>5.0000000000000001E-4</v>
      </c>
      <c r="C38" s="318">
        <v>3.0000000000000001E-3</v>
      </c>
      <c r="D38" s="318">
        <v>5.4999999999999997E-3</v>
      </c>
      <c r="E38" s="318">
        <v>8.0000000000000002E-3</v>
      </c>
      <c r="F38" s="318">
        <v>1.0500000000000001E-2</v>
      </c>
      <c r="G38" s="318">
        <v>1.3000000000000001E-2</v>
      </c>
      <c r="H38" s="318">
        <v>1.55E-2</v>
      </c>
      <c r="I38" s="319">
        <v>1.8000000000000002E-2</v>
      </c>
    </row>
    <row r="39" spans="1:9">
      <c r="A39" s="320">
        <f t="shared" si="0"/>
        <v>25</v>
      </c>
      <c r="B39" s="329">
        <v>5.0000000000000001E-4</v>
      </c>
      <c r="C39" s="322">
        <v>3.0000000000000001E-3</v>
      </c>
      <c r="D39" s="322">
        <v>5.4999999999999997E-3</v>
      </c>
      <c r="E39" s="322">
        <v>8.0000000000000002E-3</v>
      </c>
      <c r="F39" s="322">
        <v>1.0500000000000001E-2</v>
      </c>
      <c r="G39" s="322">
        <v>1.3000000000000001E-2</v>
      </c>
      <c r="H39" s="322">
        <v>1.55E-2</v>
      </c>
      <c r="I39" s="323">
        <v>1.8000000000000002E-2</v>
      </c>
    </row>
    <row r="40" spans="1:9">
      <c r="A40" s="312"/>
      <c r="B40" s="353"/>
    </row>
    <row r="41" spans="1:9">
      <c r="A41" s="324" t="s">
        <v>157</v>
      </c>
    </row>
    <row r="42" spans="1:9">
      <c r="A42" s="305" t="s">
        <v>155</v>
      </c>
    </row>
    <row r="43" spans="1:9">
      <c r="A43" s="305" t="s">
        <v>160</v>
      </c>
    </row>
    <row r="45" spans="1:9">
      <c r="A45" s="324" t="s">
        <v>158</v>
      </c>
    </row>
    <row r="46" spans="1:9">
      <c r="A46" s="305" t="s">
        <v>159</v>
      </c>
    </row>
  </sheetData>
  <mergeCells count="1">
    <mergeCell ref="B13:I1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8838E-35DC-474E-A777-7A984078C6AF}">
  <sheetPr>
    <tabColor rgb="FF00B050"/>
  </sheetPr>
  <dimension ref="A2:AZ111"/>
  <sheetViews>
    <sheetView workbookViewId="0">
      <selection sqref="A1:XFD1048576"/>
    </sheetView>
  </sheetViews>
  <sheetFormatPr defaultColWidth="8.875" defaultRowHeight="14.25"/>
  <cols>
    <col min="1" max="6" width="11.25" style="305" customWidth="1"/>
    <col min="7" max="7" width="21.875" style="305" customWidth="1"/>
    <col min="8" max="11" width="12" style="305" customWidth="1"/>
    <col min="12" max="12" width="13.75" style="305" bestFit="1" customWidth="1"/>
    <col min="13" max="13" width="21.375" style="305" bestFit="1" customWidth="1"/>
    <col min="14" max="18" width="12" style="305" customWidth="1"/>
    <col min="19" max="16384" width="8.875" style="305"/>
  </cols>
  <sheetData>
    <row r="2" spans="1:9" ht="15">
      <c r="A2" s="250" t="s">
        <v>145</v>
      </c>
      <c r="B2" s="250"/>
    </row>
    <row r="3" spans="1:9">
      <c r="A3" s="305" t="s">
        <v>118</v>
      </c>
    </row>
    <row r="4" spans="1:9">
      <c r="A4" s="305" t="s">
        <v>119</v>
      </c>
    </row>
    <row r="5" spans="1:9">
      <c r="A5" s="305" t="s">
        <v>120</v>
      </c>
    </row>
    <row r="6" spans="1:9">
      <c r="A6" s="305" t="s">
        <v>48</v>
      </c>
    </row>
    <row r="7" spans="1:9">
      <c r="A7" s="305" t="s">
        <v>121</v>
      </c>
    </row>
    <row r="9" spans="1:9">
      <c r="A9" s="305" t="s">
        <v>125</v>
      </c>
    </row>
    <row r="10" spans="1:9">
      <c r="A10" s="305" t="s">
        <v>162</v>
      </c>
    </row>
    <row r="11" spans="1:9">
      <c r="A11" s="305" t="s">
        <v>161</v>
      </c>
    </row>
    <row r="13" spans="1:9" ht="14.25" customHeight="1">
      <c r="A13" s="306"/>
      <c r="B13" s="307" t="s">
        <v>89</v>
      </c>
      <c r="C13" s="308"/>
      <c r="D13" s="308"/>
      <c r="E13" s="308"/>
      <c r="F13" s="309"/>
      <c r="G13" s="354"/>
      <c r="H13" s="354"/>
      <c r="I13" s="354"/>
    </row>
    <row r="14" spans="1:9" ht="15">
      <c r="A14" s="311" t="s">
        <v>1</v>
      </c>
      <c r="B14" s="256">
        <v>0</v>
      </c>
      <c r="C14" s="257">
        <v>2.5000000000000001E-3</v>
      </c>
      <c r="D14" s="257">
        <v>5.0000000000000001E-3</v>
      </c>
      <c r="E14" s="257">
        <v>7.4999999999999997E-3</v>
      </c>
      <c r="F14" s="258">
        <v>0.01</v>
      </c>
      <c r="G14" s="349"/>
      <c r="H14" s="349"/>
      <c r="I14" s="349"/>
    </row>
    <row r="15" spans="1:9">
      <c r="A15" s="312">
        <v>1</v>
      </c>
      <c r="B15" s="328">
        <v>3.0170102596308972E-3</v>
      </c>
      <c r="C15" s="335">
        <v>5.432938366550016E-3</v>
      </c>
      <c r="D15" s="335">
        <v>7.8492295787628424E-3</v>
      </c>
      <c r="E15" s="335">
        <v>1.0269422151755222E-2</v>
      </c>
      <c r="F15" s="336">
        <v>1.2682885563222409E-2</v>
      </c>
      <c r="G15" s="335"/>
      <c r="H15" s="335"/>
      <c r="I15" s="335"/>
    </row>
    <row r="16" spans="1:9">
      <c r="A16" s="312">
        <f t="shared" ref="A16:A29" si="0">A15+1</f>
        <v>2</v>
      </c>
      <c r="B16" s="328">
        <v>3.0170102596308972E-3</v>
      </c>
      <c r="C16" s="335">
        <v>5.432938366550016E-3</v>
      </c>
      <c r="D16" s="335">
        <v>7.8492295787628424E-3</v>
      </c>
      <c r="E16" s="335">
        <v>1.0269422151755222E-2</v>
      </c>
      <c r="F16" s="336">
        <v>1.2682885563222409E-2</v>
      </c>
      <c r="G16" s="335"/>
      <c r="H16" s="335"/>
      <c r="I16" s="335"/>
    </row>
    <row r="17" spans="1:9">
      <c r="A17" s="312">
        <f t="shared" si="0"/>
        <v>3</v>
      </c>
      <c r="B17" s="328">
        <v>3.0170102596308972E-3</v>
      </c>
      <c r="C17" s="335">
        <v>5.432938366550016E-3</v>
      </c>
      <c r="D17" s="335">
        <v>7.8492295787628424E-3</v>
      </c>
      <c r="E17" s="335">
        <v>1.0269422151755222E-2</v>
      </c>
      <c r="F17" s="336">
        <v>1.2682885563222409E-2</v>
      </c>
      <c r="G17" s="335"/>
      <c r="H17" s="335"/>
      <c r="I17" s="335"/>
    </row>
    <row r="18" spans="1:9">
      <c r="A18" s="312">
        <f t="shared" si="0"/>
        <v>4</v>
      </c>
      <c r="B18" s="328">
        <v>3.0170102596308972E-3</v>
      </c>
      <c r="C18" s="335">
        <v>5.432938366550016E-3</v>
      </c>
      <c r="D18" s="335">
        <v>7.8492295787628424E-3</v>
      </c>
      <c r="E18" s="335">
        <v>1.0269422151755222E-2</v>
      </c>
      <c r="F18" s="336">
        <v>1.2682885563222409E-2</v>
      </c>
      <c r="G18" s="335"/>
      <c r="H18" s="335"/>
      <c r="I18" s="335"/>
    </row>
    <row r="19" spans="1:9">
      <c r="A19" s="312">
        <f t="shared" si="0"/>
        <v>5</v>
      </c>
      <c r="B19" s="328">
        <v>3.0170102596308972E-3</v>
      </c>
      <c r="C19" s="335">
        <v>5.432938366550016E-3</v>
      </c>
      <c r="D19" s="335">
        <v>7.8492295787628424E-3</v>
      </c>
      <c r="E19" s="335">
        <v>1.0269422151755222E-2</v>
      </c>
      <c r="F19" s="336">
        <v>1.2682885563222409E-2</v>
      </c>
      <c r="G19" s="335"/>
      <c r="H19" s="335"/>
      <c r="I19" s="335"/>
    </row>
    <row r="20" spans="1:9">
      <c r="A20" s="312">
        <f t="shared" si="0"/>
        <v>6</v>
      </c>
      <c r="B20" s="328">
        <v>3.0170102596308972E-3</v>
      </c>
      <c r="C20" s="335">
        <v>5.432938366550016E-3</v>
      </c>
      <c r="D20" s="335">
        <v>7.8492295787628424E-3</v>
      </c>
      <c r="E20" s="335">
        <v>1.0269422151755222E-2</v>
      </c>
      <c r="F20" s="336">
        <v>1.2682885563222409E-2</v>
      </c>
      <c r="G20" s="335"/>
      <c r="H20" s="335"/>
      <c r="I20" s="335"/>
    </row>
    <row r="21" spans="1:9">
      <c r="A21" s="312">
        <f t="shared" si="0"/>
        <v>7</v>
      </c>
      <c r="B21" s="328">
        <v>3.0170102596308972E-3</v>
      </c>
      <c r="C21" s="335">
        <v>5.432938366550016E-3</v>
      </c>
      <c r="D21" s="335">
        <v>7.8492295787628424E-3</v>
      </c>
      <c r="E21" s="335">
        <v>1.0269422151755222E-2</v>
      </c>
      <c r="F21" s="336">
        <v>1.2682885563222409E-2</v>
      </c>
      <c r="G21" s="335"/>
      <c r="H21" s="335"/>
      <c r="I21" s="335"/>
    </row>
    <row r="22" spans="1:9">
      <c r="A22" s="312">
        <f t="shared" si="0"/>
        <v>8</v>
      </c>
      <c r="B22" s="328">
        <v>3.0170102596308972E-3</v>
      </c>
      <c r="C22" s="335">
        <v>5.432938366550016E-3</v>
      </c>
      <c r="D22" s="335">
        <v>7.8492295787628424E-3</v>
      </c>
      <c r="E22" s="335">
        <v>1.0269422151755222E-2</v>
      </c>
      <c r="F22" s="336">
        <v>1.2682885563222409E-2</v>
      </c>
      <c r="G22" s="335"/>
      <c r="H22" s="335"/>
      <c r="I22" s="335"/>
    </row>
    <row r="23" spans="1:9">
      <c r="A23" s="312">
        <f t="shared" si="0"/>
        <v>9</v>
      </c>
      <c r="B23" s="328">
        <v>3.0170102596308972E-3</v>
      </c>
      <c r="C23" s="335">
        <v>5.432938366550016E-3</v>
      </c>
      <c r="D23" s="335">
        <v>7.8492295787628424E-3</v>
      </c>
      <c r="E23" s="335">
        <v>1.0269422151755222E-2</v>
      </c>
      <c r="F23" s="336">
        <v>1.2682885563222409E-2</v>
      </c>
      <c r="G23" s="335"/>
      <c r="H23" s="335"/>
      <c r="I23" s="335"/>
    </row>
    <row r="24" spans="1:9">
      <c r="A24" s="312">
        <f t="shared" si="0"/>
        <v>10</v>
      </c>
      <c r="B24" s="328">
        <v>3.0170102596308972E-3</v>
      </c>
      <c r="C24" s="335">
        <v>5.432938366550016E-3</v>
      </c>
      <c r="D24" s="335">
        <v>7.8492295787628424E-3</v>
      </c>
      <c r="E24" s="335">
        <v>1.0269422151755222E-2</v>
      </c>
      <c r="F24" s="336">
        <v>1.2682885563222409E-2</v>
      </c>
      <c r="G24" s="335"/>
      <c r="H24" s="335"/>
      <c r="I24" s="335"/>
    </row>
    <row r="25" spans="1:9">
      <c r="A25" s="312">
        <f t="shared" si="0"/>
        <v>11</v>
      </c>
      <c r="B25" s="328">
        <v>3.0170102596308972E-3</v>
      </c>
      <c r="C25" s="335">
        <v>5.432938366550016E-3</v>
      </c>
      <c r="D25" s="335">
        <v>7.8492295787628424E-3</v>
      </c>
      <c r="E25" s="335">
        <v>1.0269422151755222E-2</v>
      </c>
      <c r="F25" s="336">
        <v>1.2682885563222409E-2</v>
      </c>
      <c r="G25" s="335"/>
      <c r="H25" s="335"/>
      <c r="I25" s="335"/>
    </row>
    <row r="26" spans="1:9">
      <c r="A26" s="312">
        <f t="shared" si="0"/>
        <v>12</v>
      </c>
      <c r="B26" s="328">
        <v>3.0170102596308972E-3</v>
      </c>
      <c r="C26" s="335">
        <v>5.432938366550016E-3</v>
      </c>
      <c r="D26" s="335">
        <v>7.8492295787628424E-3</v>
      </c>
      <c r="E26" s="335">
        <v>1.0269422151755222E-2</v>
      </c>
      <c r="F26" s="336">
        <v>1.2682885563222409E-2</v>
      </c>
      <c r="G26" s="335"/>
      <c r="H26" s="335"/>
      <c r="I26" s="335"/>
    </row>
    <row r="27" spans="1:9">
      <c r="A27" s="312">
        <f t="shared" si="0"/>
        <v>13</v>
      </c>
      <c r="B27" s="328">
        <v>3.0170102596308972E-3</v>
      </c>
      <c r="C27" s="335">
        <v>5.432938366550016E-3</v>
      </c>
      <c r="D27" s="335">
        <v>7.8492295787628424E-3</v>
      </c>
      <c r="E27" s="335">
        <v>1.0269422151755222E-2</v>
      </c>
      <c r="F27" s="336">
        <v>1.2682885563222409E-2</v>
      </c>
      <c r="G27" s="335"/>
      <c r="H27" s="335"/>
      <c r="I27" s="335"/>
    </row>
    <row r="28" spans="1:9">
      <c r="A28" s="312">
        <f t="shared" si="0"/>
        <v>14</v>
      </c>
      <c r="B28" s="328">
        <v>3.0170102596308972E-3</v>
      </c>
      <c r="C28" s="335">
        <v>5.432938366550016E-3</v>
      </c>
      <c r="D28" s="335">
        <v>7.8492295787628424E-3</v>
      </c>
      <c r="E28" s="335">
        <v>1.0269422151755222E-2</v>
      </c>
      <c r="F28" s="336">
        <v>1.2682885563222409E-2</v>
      </c>
      <c r="G28" s="335"/>
      <c r="H28" s="335"/>
      <c r="I28" s="335"/>
    </row>
    <row r="29" spans="1:9">
      <c r="A29" s="320">
        <f t="shared" si="0"/>
        <v>15</v>
      </c>
      <c r="B29" s="329">
        <v>3.0170102596308972E-3</v>
      </c>
      <c r="C29" s="340">
        <v>5.432938366550016E-3</v>
      </c>
      <c r="D29" s="340">
        <v>7.8492295787628424E-3</v>
      </c>
      <c r="E29" s="340">
        <v>1.0269422151755222E-2</v>
      </c>
      <c r="F29" s="341">
        <v>1.2682885563222409E-2</v>
      </c>
      <c r="G29" s="335"/>
      <c r="H29" s="335"/>
      <c r="I29" s="335"/>
    </row>
    <row r="31" spans="1:9">
      <c r="A31" s="324" t="s">
        <v>157</v>
      </c>
    </row>
    <row r="32" spans="1:9">
      <c r="A32" s="305" t="s">
        <v>155</v>
      </c>
    </row>
    <row r="33" spans="1:1">
      <c r="A33" s="305" t="s">
        <v>160</v>
      </c>
    </row>
    <row r="35" spans="1:1">
      <c r="A35" s="324" t="s">
        <v>158</v>
      </c>
    </row>
    <row r="36" spans="1:1">
      <c r="A36" s="305" t="s">
        <v>159</v>
      </c>
    </row>
    <row r="66" spans="4:52">
      <c r="D66" s="305">
        <v>4</v>
      </c>
    </row>
    <row r="70" spans="4:52">
      <c r="L70" s="305">
        <f>K52+1</f>
        <v>1</v>
      </c>
      <c r="M70" s="305">
        <f t="shared" ref="M70:AB70" si="1">L70+1</f>
        <v>2</v>
      </c>
      <c r="N70" s="305">
        <f t="shared" si="1"/>
        <v>3</v>
      </c>
      <c r="O70" s="305">
        <f t="shared" si="1"/>
        <v>4</v>
      </c>
      <c r="P70" s="305">
        <f t="shared" si="1"/>
        <v>5</v>
      </c>
      <c r="Q70" s="305">
        <f t="shared" si="1"/>
        <v>6</v>
      </c>
      <c r="R70" s="305">
        <f t="shared" si="1"/>
        <v>7</v>
      </c>
      <c r="S70" s="305">
        <f t="shared" si="1"/>
        <v>8</v>
      </c>
      <c r="T70" s="305">
        <f t="shared" si="1"/>
        <v>9</v>
      </c>
      <c r="U70" s="305">
        <f t="shared" si="1"/>
        <v>10</v>
      </c>
      <c r="V70" s="305">
        <f t="shared" si="1"/>
        <v>11</v>
      </c>
      <c r="W70" s="305">
        <f t="shared" si="1"/>
        <v>12</v>
      </c>
      <c r="X70" s="305">
        <f t="shared" si="1"/>
        <v>13</v>
      </c>
      <c r="Y70" s="305">
        <f t="shared" si="1"/>
        <v>14</v>
      </c>
      <c r="Z70" s="305">
        <f t="shared" si="1"/>
        <v>15</v>
      </c>
      <c r="AA70" s="305">
        <f t="shared" si="1"/>
        <v>16</v>
      </c>
      <c r="AB70" s="305">
        <f t="shared" si="1"/>
        <v>17</v>
      </c>
      <c r="AC70" s="305">
        <f>AB69+1</f>
        <v>1</v>
      </c>
      <c r="AD70" s="305">
        <f t="shared" ref="AD70:AZ70" si="2">AC70+1</f>
        <v>2</v>
      </c>
      <c r="AE70" s="305">
        <f t="shared" si="2"/>
        <v>3</v>
      </c>
      <c r="AF70" s="305">
        <f t="shared" si="2"/>
        <v>4</v>
      </c>
      <c r="AG70" s="305">
        <f t="shared" si="2"/>
        <v>5</v>
      </c>
      <c r="AH70" s="305">
        <f t="shared" si="2"/>
        <v>6</v>
      </c>
      <c r="AI70" s="305">
        <f t="shared" si="2"/>
        <v>7</v>
      </c>
      <c r="AJ70" s="305">
        <f t="shared" si="2"/>
        <v>8</v>
      </c>
      <c r="AK70" s="305">
        <f t="shared" si="2"/>
        <v>9</v>
      </c>
      <c r="AL70" s="305">
        <f t="shared" si="2"/>
        <v>10</v>
      </c>
      <c r="AM70" s="305">
        <f t="shared" si="2"/>
        <v>11</v>
      </c>
      <c r="AN70" s="305">
        <f t="shared" si="2"/>
        <v>12</v>
      </c>
      <c r="AO70" s="305">
        <f t="shared" si="2"/>
        <v>13</v>
      </c>
      <c r="AP70" s="305">
        <f t="shared" si="2"/>
        <v>14</v>
      </c>
      <c r="AQ70" s="305">
        <f t="shared" si="2"/>
        <v>15</v>
      </c>
      <c r="AR70" s="305">
        <f t="shared" si="2"/>
        <v>16</v>
      </c>
      <c r="AS70" s="305">
        <f t="shared" si="2"/>
        <v>17</v>
      </c>
      <c r="AT70" s="305">
        <f t="shared" si="2"/>
        <v>18</v>
      </c>
      <c r="AU70" s="305">
        <f t="shared" si="2"/>
        <v>19</v>
      </c>
      <c r="AV70" s="305">
        <f t="shared" si="2"/>
        <v>20</v>
      </c>
      <c r="AW70" s="305">
        <f t="shared" si="2"/>
        <v>21</v>
      </c>
      <c r="AX70" s="305">
        <f t="shared" si="2"/>
        <v>22</v>
      </c>
      <c r="AY70" s="305">
        <f t="shared" si="2"/>
        <v>23</v>
      </c>
      <c r="AZ70" s="305">
        <f t="shared" si="2"/>
        <v>24</v>
      </c>
    </row>
    <row r="71" spans="4:52">
      <c r="AC71" s="305">
        <f>AB70+1</f>
        <v>18</v>
      </c>
      <c r="AD71" s="305">
        <f t="shared" ref="AD71:AZ71" si="3">AC71+1</f>
        <v>19</v>
      </c>
      <c r="AE71" s="305">
        <f t="shared" si="3"/>
        <v>20</v>
      </c>
      <c r="AF71" s="305">
        <f t="shared" si="3"/>
        <v>21</v>
      </c>
      <c r="AG71" s="305">
        <f t="shared" si="3"/>
        <v>22</v>
      </c>
      <c r="AH71" s="305">
        <f t="shared" si="3"/>
        <v>23</v>
      </c>
      <c r="AI71" s="305">
        <f t="shared" si="3"/>
        <v>24</v>
      </c>
      <c r="AJ71" s="305">
        <f t="shared" si="3"/>
        <v>25</v>
      </c>
      <c r="AK71" s="305">
        <f t="shared" si="3"/>
        <v>26</v>
      </c>
      <c r="AL71" s="305">
        <f t="shared" si="3"/>
        <v>27</v>
      </c>
      <c r="AM71" s="305">
        <f t="shared" si="3"/>
        <v>28</v>
      </c>
      <c r="AN71" s="305">
        <f t="shared" si="3"/>
        <v>29</v>
      </c>
      <c r="AO71" s="305">
        <f t="shared" si="3"/>
        <v>30</v>
      </c>
      <c r="AP71" s="305">
        <f t="shared" si="3"/>
        <v>31</v>
      </c>
      <c r="AQ71" s="305">
        <f t="shared" si="3"/>
        <v>32</v>
      </c>
      <c r="AR71" s="305">
        <f t="shared" si="3"/>
        <v>33</v>
      </c>
      <c r="AS71" s="305">
        <f t="shared" si="3"/>
        <v>34</v>
      </c>
      <c r="AT71" s="305">
        <f t="shared" si="3"/>
        <v>35</v>
      </c>
      <c r="AU71" s="305">
        <f t="shared" si="3"/>
        <v>36</v>
      </c>
      <c r="AV71" s="305">
        <f t="shared" si="3"/>
        <v>37</v>
      </c>
      <c r="AW71" s="305">
        <f t="shared" si="3"/>
        <v>38</v>
      </c>
      <c r="AX71" s="305">
        <f t="shared" si="3"/>
        <v>39</v>
      </c>
      <c r="AY71" s="305">
        <f t="shared" si="3"/>
        <v>40</v>
      </c>
      <c r="AZ71" s="305">
        <f t="shared" si="3"/>
        <v>41</v>
      </c>
    </row>
    <row r="101" spans="18:52">
      <c r="R101" s="305">
        <f>Q70+1</f>
        <v>7</v>
      </c>
      <c r="S101" s="305">
        <f>R101+1</f>
        <v>8</v>
      </c>
      <c r="T101" s="305">
        <f>S101+1</f>
        <v>9</v>
      </c>
      <c r="U101" s="305">
        <f>T101+1</f>
        <v>10</v>
      </c>
      <c r="V101" s="305">
        <f>U101+1</f>
        <v>11</v>
      </c>
    </row>
    <row r="110" spans="18:52">
      <c r="W110" s="305">
        <f>V101+1</f>
        <v>12</v>
      </c>
      <c r="X110" s="305">
        <f>W110+1</f>
        <v>13</v>
      </c>
      <c r="Y110" s="305">
        <f>X110+1</f>
        <v>14</v>
      </c>
      <c r="Z110" s="305">
        <f>Y110+1</f>
        <v>15</v>
      </c>
      <c r="AA110" s="305">
        <f>Z110+1</f>
        <v>16</v>
      </c>
      <c r="AB110" s="305">
        <f>AA110+1</f>
        <v>17</v>
      </c>
    </row>
    <row r="111" spans="18:52">
      <c r="AC111" s="305">
        <f>AB110+1</f>
        <v>18</v>
      </c>
      <c r="AD111" s="305">
        <f t="shared" ref="AD111:AZ111" si="4">AC111+1</f>
        <v>19</v>
      </c>
      <c r="AE111" s="305">
        <f t="shared" si="4"/>
        <v>20</v>
      </c>
      <c r="AF111" s="305">
        <f t="shared" si="4"/>
        <v>21</v>
      </c>
      <c r="AG111" s="305">
        <f t="shared" si="4"/>
        <v>22</v>
      </c>
      <c r="AH111" s="305">
        <f t="shared" si="4"/>
        <v>23</v>
      </c>
      <c r="AI111" s="305">
        <f t="shared" si="4"/>
        <v>24</v>
      </c>
      <c r="AJ111" s="305">
        <f t="shared" si="4"/>
        <v>25</v>
      </c>
      <c r="AK111" s="305">
        <f t="shared" si="4"/>
        <v>26</v>
      </c>
      <c r="AL111" s="305">
        <f t="shared" si="4"/>
        <v>27</v>
      </c>
      <c r="AM111" s="305">
        <f t="shared" si="4"/>
        <v>28</v>
      </c>
      <c r="AN111" s="305">
        <f t="shared" si="4"/>
        <v>29</v>
      </c>
      <c r="AO111" s="305">
        <f t="shared" si="4"/>
        <v>30</v>
      </c>
      <c r="AP111" s="305">
        <f t="shared" si="4"/>
        <v>31</v>
      </c>
      <c r="AQ111" s="305">
        <f t="shared" si="4"/>
        <v>32</v>
      </c>
      <c r="AR111" s="305">
        <f t="shared" si="4"/>
        <v>33</v>
      </c>
      <c r="AS111" s="305">
        <f t="shared" si="4"/>
        <v>34</v>
      </c>
      <c r="AT111" s="305">
        <f t="shared" si="4"/>
        <v>35</v>
      </c>
      <c r="AU111" s="305">
        <f t="shared" si="4"/>
        <v>36</v>
      </c>
      <c r="AV111" s="305">
        <f t="shared" si="4"/>
        <v>37</v>
      </c>
      <c r="AW111" s="305">
        <f t="shared" si="4"/>
        <v>38</v>
      </c>
      <c r="AX111" s="305">
        <f t="shared" si="4"/>
        <v>39</v>
      </c>
      <c r="AY111" s="305">
        <f t="shared" si="4"/>
        <v>40</v>
      </c>
      <c r="AZ111" s="305">
        <f t="shared" si="4"/>
        <v>41</v>
      </c>
    </row>
  </sheetData>
  <mergeCells count="1">
    <mergeCell ref="B13:F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9AB0-946B-4866-990F-03986CC59027}">
  <sheetPr>
    <tabColor rgb="FF00B050"/>
  </sheetPr>
  <dimension ref="A2:AY170"/>
  <sheetViews>
    <sheetView workbookViewId="0">
      <selection sqref="A1:XFD1048576"/>
    </sheetView>
  </sheetViews>
  <sheetFormatPr defaultColWidth="8.875" defaultRowHeight="14.25"/>
  <cols>
    <col min="1" max="6" width="11.25" style="305" customWidth="1"/>
    <col min="7" max="17" width="12" style="305" customWidth="1"/>
    <col min="18" max="16384" width="8.875" style="305"/>
  </cols>
  <sheetData>
    <row r="2" spans="1:21" ht="15">
      <c r="A2" s="250" t="s">
        <v>163</v>
      </c>
      <c r="B2" s="351"/>
      <c r="C2" s="351"/>
      <c r="D2" s="351"/>
      <c r="E2" s="351"/>
      <c r="F2" s="351"/>
      <c r="G2" s="355"/>
      <c r="H2" s="355"/>
      <c r="I2" s="355"/>
      <c r="J2" s="355"/>
      <c r="K2" s="355"/>
      <c r="L2" s="355"/>
      <c r="M2" s="355"/>
      <c r="N2" s="356"/>
      <c r="O2" s="356"/>
      <c r="P2" s="356"/>
      <c r="Q2" s="356"/>
      <c r="R2" s="356"/>
      <c r="S2" s="356"/>
      <c r="T2" s="356"/>
      <c r="U2" s="356"/>
    </row>
    <row r="3" spans="1:21" ht="14.25" customHeight="1">
      <c r="A3" s="305" t="s">
        <v>122</v>
      </c>
      <c r="B3" s="357"/>
      <c r="C3" s="327"/>
      <c r="D3" s="327"/>
      <c r="E3" s="327"/>
      <c r="F3" s="327"/>
      <c r="G3" s="355"/>
      <c r="H3" s="355"/>
      <c r="I3" s="355"/>
      <c r="J3" s="355"/>
      <c r="K3" s="355"/>
      <c r="L3" s="355"/>
      <c r="M3" s="355"/>
      <c r="N3" s="327"/>
      <c r="O3" s="327"/>
      <c r="P3" s="327"/>
      <c r="Q3" s="327"/>
      <c r="R3" s="327"/>
      <c r="S3" s="327"/>
      <c r="T3" s="327"/>
      <c r="U3" s="327"/>
    </row>
    <row r="4" spans="1:21" ht="14.25" customHeight="1">
      <c r="B4" s="357"/>
      <c r="C4" s="327"/>
      <c r="D4" s="327"/>
      <c r="E4" s="327"/>
      <c r="F4" s="327"/>
      <c r="G4" s="355"/>
      <c r="H4" s="355"/>
      <c r="I4" s="355"/>
      <c r="J4" s="355"/>
      <c r="K4" s="355"/>
      <c r="L4" s="355"/>
      <c r="M4" s="355"/>
      <c r="N4" s="327"/>
      <c r="O4" s="327"/>
      <c r="P4" s="327"/>
      <c r="Q4" s="327"/>
      <c r="R4" s="327"/>
      <c r="S4" s="327"/>
      <c r="T4" s="327"/>
      <c r="U4" s="327"/>
    </row>
    <row r="5" spans="1:21" ht="14.25" customHeight="1">
      <c r="A5" s="305" t="s">
        <v>151</v>
      </c>
      <c r="C5" s="327"/>
      <c r="D5" s="327"/>
      <c r="E5" s="327"/>
      <c r="F5" s="327"/>
      <c r="G5" s="355"/>
      <c r="H5" s="355"/>
      <c r="I5" s="355"/>
      <c r="J5" s="355"/>
      <c r="K5" s="355"/>
      <c r="L5" s="355"/>
      <c r="M5" s="355"/>
      <c r="N5" s="327"/>
      <c r="O5" s="327"/>
      <c r="P5" s="327"/>
      <c r="Q5" s="327"/>
      <c r="R5" s="327"/>
      <c r="S5" s="327"/>
      <c r="T5" s="327"/>
      <c r="U5" s="327"/>
    </row>
    <row r="6" spans="1:21">
      <c r="B6" s="358"/>
      <c r="C6" s="327"/>
      <c r="D6" s="327"/>
      <c r="E6" s="327"/>
      <c r="F6" s="327"/>
      <c r="G6" s="355"/>
      <c r="H6" s="355"/>
      <c r="I6" s="355"/>
      <c r="J6" s="355"/>
      <c r="K6" s="355"/>
      <c r="L6" s="355"/>
      <c r="M6" s="355"/>
      <c r="N6" s="327"/>
      <c r="O6" s="327"/>
      <c r="P6" s="327"/>
      <c r="Q6" s="359"/>
    </row>
    <row r="7" spans="1:21" ht="28.5">
      <c r="A7" s="311" t="s">
        <v>1</v>
      </c>
      <c r="B7" s="360" t="s">
        <v>102</v>
      </c>
      <c r="D7" s="355"/>
      <c r="E7" s="355"/>
      <c r="F7" s="355"/>
      <c r="G7" s="355"/>
      <c r="H7" s="355"/>
      <c r="I7" s="355"/>
      <c r="J7" s="355"/>
    </row>
    <row r="8" spans="1:21">
      <c r="A8" s="343">
        <v>1</v>
      </c>
      <c r="B8" s="361">
        <v>2E-3</v>
      </c>
      <c r="D8" s="355"/>
      <c r="E8" s="355"/>
      <c r="F8" s="355"/>
      <c r="G8" s="355"/>
      <c r="H8" s="355"/>
      <c r="I8" s="355"/>
      <c r="J8" s="355"/>
    </row>
    <row r="9" spans="1:21">
      <c r="A9" s="312">
        <f t="shared" ref="A9:A20" si="0">A8+1</f>
        <v>2</v>
      </c>
      <c r="B9" s="362">
        <v>2E-3</v>
      </c>
      <c r="D9" s="355"/>
      <c r="E9" s="355"/>
      <c r="F9" s="355"/>
      <c r="G9" s="355"/>
      <c r="H9" s="355"/>
      <c r="I9" s="355"/>
      <c r="J9" s="355"/>
    </row>
    <row r="10" spans="1:21">
      <c r="A10" s="312">
        <f t="shared" si="0"/>
        <v>3</v>
      </c>
      <c r="B10" s="362">
        <v>2E-3</v>
      </c>
    </row>
    <row r="11" spans="1:21">
      <c r="A11" s="312">
        <f t="shared" si="0"/>
        <v>4</v>
      </c>
      <c r="B11" s="362">
        <v>2E-3</v>
      </c>
    </row>
    <row r="12" spans="1:21">
      <c r="A12" s="312">
        <f t="shared" si="0"/>
        <v>5</v>
      </c>
      <c r="B12" s="362">
        <v>2E-3</v>
      </c>
    </row>
    <row r="13" spans="1:21">
      <c r="A13" s="312">
        <f t="shared" si="0"/>
        <v>6</v>
      </c>
      <c r="B13" s="362">
        <v>2E-3</v>
      </c>
    </row>
    <row r="14" spans="1:21">
      <c r="A14" s="312">
        <f t="shared" si="0"/>
        <v>7</v>
      </c>
      <c r="B14" s="362">
        <v>1E-3</v>
      </c>
    </row>
    <row r="15" spans="1:21">
      <c r="A15" s="312">
        <f t="shared" si="0"/>
        <v>8</v>
      </c>
      <c r="B15" s="362">
        <v>8.0000000000000004E-4</v>
      </c>
    </row>
    <row r="16" spans="1:21">
      <c r="A16" s="312">
        <f t="shared" si="0"/>
        <v>9</v>
      </c>
      <c r="B16" s="362">
        <v>6.4000000000000005E-4</v>
      </c>
    </row>
    <row r="17" spans="1:2">
      <c r="A17" s="312">
        <f t="shared" si="0"/>
        <v>10</v>
      </c>
      <c r="B17" s="362">
        <v>5.1200000000000009E-4</v>
      </c>
    </row>
    <row r="18" spans="1:2">
      <c r="A18" s="312">
        <f t="shared" si="0"/>
        <v>11</v>
      </c>
      <c r="B18" s="362">
        <v>0</v>
      </c>
    </row>
    <row r="19" spans="1:2">
      <c r="A19" s="312">
        <f t="shared" si="0"/>
        <v>12</v>
      </c>
      <c r="B19" s="362">
        <v>0</v>
      </c>
    </row>
    <row r="20" spans="1:2">
      <c r="A20" s="320">
        <f t="shared" si="0"/>
        <v>13</v>
      </c>
      <c r="B20" s="363">
        <v>0</v>
      </c>
    </row>
    <row r="22" spans="1:2">
      <c r="A22" s="324" t="s">
        <v>157</v>
      </c>
    </row>
    <row r="23" spans="1:2">
      <c r="A23" s="305" t="s">
        <v>155</v>
      </c>
    </row>
    <row r="24" spans="1:2">
      <c r="A24" s="305" t="s">
        <v>160</v>
      </c>
    </row>
    <row r="26" spans="1:2">
      <c r="A26" s="324" t="s">
        <v>158</v>
      </c>
    </row>
    <row r="27" spans="1:2">
      <c r="A27" s="305" t="s">
        <v>159</v>
      </c>
    </row>
    <row r="44" spans="1:1">
      <c r="A44" s="305" t="s">
        <v>45</v>
      </c>
    </row>
    <row r="45" spans="1:1" ht="57">
      <c r="A45" s="354" t="s">
        <v>46</v>
      </c>
    </row>
    <row r="46" spans="1:1" ht="42.75">
      <c r="A46" s="354" t="s">
        <v>47</v>
      </c>
    </row>
    <row r="126" spans="2:27">
      <c r="B126" s="305">
        <v>1</v>
      </c>
      <c r="C126" s="305">
        <f t="shared" ref="C126:T126" si="1">B126+1</f>
        <v>2</v>
      </c>
      <c r="D126" s="305">
        <f t="shared" si="1"/>
        <v>3</v>
      </c>
      <c r="E126" s="305">
        <f t="shared" si="1"/>
        <v>4</v>
      </c>
      <c r="F126" s="305">
        <f t="shared" si="1"/>
        <v>5</v>
      </c>
      <c r="G126" s="305">
        <f t="shared" si="1"/>
        <v>6</v>
      </c>
      <c r="H126" s="305">
        <f t="shared" si="1"/>
        <v>7</v>
      </c>
      <c r="I126" s="305">
        <f t="shared" si="1"/>
        <v>8</v>
      </c>
      <c r="J126" s="305">
        <f t="shared" si="1"/>
        <v>9</v>
      </c>
      <c r="K126" s="305">
        <f t="shared" si="1"/>
        <v>10</v>
      </c>
      <c r="L126" s="305">
        <f t="shared" si="1"/>
        <v>11</v>
      </c>
      <c r="M126" s="305">
        <f t="shared" si="1"/>
        <v>12</v>
      </c>
      <c r="N126" s="305">
        <f t="shared" si="1"/>
        <v>13</v>
      </c>
      <c r="O126" s="305">
        <f t="shared" si="1"/>
        <v>14</v>
      </c>
      <c r="P126" s="305">
        <f t="shared" si="1"/>
        <v>15</v>
      </c>
      <c r="Q126" s="305">
        <f t="shared" si="1"/>
        <v>16</v>
      </c>
      <c r="R126" s="305">
        <f t="shared" si="1"/>
        <v>17</v>
      </c>
      <c r="S126" s="305">
        <f t="shared" si="1"/>
        <v>18</v>
      </c>
      <c r="T126" s="305">
        <f t="shared" si="1"/>
        <v>19</v>
      </c>
    </row>
    <row r="127" spans="2:27">
      <c r="V127" s="305">
        <f>U128+1</f>
        <v>21</v>
      </c>
      <c r="W127" s="305">
        <f t="shared" ref="W127:Z128" si="2">V127+1</f>
        <v>22</v>
      </c>
      <c r="X127" s="305">
        <f t="shared" si="2"/>
        <v>23</v>
      </c>
      <c r="Y127" s="305">
        <f t="shared" si="2"/>
        <v>24</v>
      </c>
      <c r="Z127" s="305">
        <f t="shared" si="2"/>
        <v>25</v>
      </c>
    </row>
    <row r="128" spans="2:27">
      <c r="G128" s="305">
        <f>F126+1</f>
        <v>6</v>
      </c>
      <c r="H128" s="305">
        <f t="shared" ref="H128:V128" si="3">G128+1</f>
        <v>7</v>
      </c>
      <c r="I128" s="305">
        <f t="shared" si="3"/>
        <v>8</v>
      </c>
      <c r="J128" s="305">
        <f t="shared" si="3"/>
        <v>9</v>
      </c>
      <c r="K128" s="305">
        <f t="shared" si="3"/>
        <v>10</v>
      </c>
      <c r="L128" s="305">
        <f t="shared" si="3"/>
        <v>11</v>
      </c>
      <c r="M128" s="305">
        <f t="shared" si="3"/>
        <v>12</v>
      </c>
      <c r="N128" s="305">
        <f t="shared" si="3"/>
        <v>13</v>
      </c>
      <c r="O128" s="305">
        <f t="shared" si="3"/>
        <v>14</v>
      </c>
      <c r="P128" s="305">
        <f t="shared" si="3"/>
        <v>15</v>
      </c>
      <c r="Q128" s="305">
        <f t="shared" si="3"/>
        <v>16</v>
      </c>
      <c r="R128" s="305">
        <f t="shared" si="3"/>
        <v>17</v>
      </c>
      <c r="S128" s="305">
        <f t="shared" si="3"/>
        <v>18</v>
      </c>
      <c r="T128" s="305">
        <f t="shared" si="3"/>
        <v>19</v>
      </c>
      <c r="U128" s="305">
        <f t="shared" si="3"/>
        <v>20</v>
      </c>
      <c r="V128" s="305">
        <f t="shared" si="3"/>
        <v>21</v>
      </c>
      <c r="W128" s="305">
        <f t="shared" si="2"/>
        <v>22</v>
      </c>
      <c r="X128" s="305">
        <f t="shared" si="2"/>
        <v>23</v>
      </c>
      <c r="Y128" s="305">
        <f t="shared" si="2"/>
        <v>24</v>
      </c>
      <c r="Z128" s="305">
        <f t="shared" si="2"/>
        <v>25</v>
      </c>
      <c r="AA128" s="305">
        <f>Z127+1</f>
        <v>26</v>
      </c>
    </row>
    <row r="129" spans="27:51">
      <c r="AA129" s="305">
        <f>Z128+1</f>
        <v>26</v>
      </c>
      <c r="AB129" s="305">
        <f>AA128+1</f>
        <v>27</v>
      </c>
      <c r="AC129" s="305">
        <f t="shared" ref="AC129:AY130" si="4">AB129+1</f>
        <v>28</v>
      </c>
      <c r="AD129" s="305">
        <f t="shared" si="4"/>
        <v>29</v>
      </c>
      <c r="AE129" s="305">
        <f t="shared" si="4"/>
        <v>30</v>
      </c>
      <c r="AF129" s="305">
        <f t="shared" si="4"/>
        <v>31</v>
      </c>
      <c r="AG129" s="305">
        <f t="shared" si="4"/>
        <v>32</v>
      </c>
      <c r="AH129" s="305">
        <f t="shared" si="4"/>
        <v>33</v>
      </c>
      <c r="AI129" s="305">
        <f t="shared" si="4"/>
        <v>34</v>
      </c>
      <c r="AJ129" s="305">
        <f t="shared" si="4"/>
        <v>35</v>
      </c>
      <c r="AK129" s="305">
        <f t="shared" si="4"/>
        <v>36</v>
      </c>
      <c r="AL129" s="305">
        <f t="shared" si="4"/>
        <v>37</v>
      </c>
      <c r="AM129" s="305">
        <f t="shared" si="4"/>
        <v>38</v>
      </c>
      <c r="AN129" s="305">
        <f t="shared" si="4"/>
        <v>39</v>
      </c>
      <c r="AO129" s="305">
        <f t="shared" si="4"/>
        <v>40</v>
      </c>
      <c r="AP129" s="305">
        <f t="shared" si="4"/>
        <v>41</v>
      </c>
      <c r="AQ129" s="305">
        <f t="shared" si="4"/>
        <v>42</v>
      </c>
      <c r="AR129" s="305">
        <f t="shared" si="4"/>
        <v>43</v>
      </c>
      <c r="AS129" s="305">
        <f t="shared" si="4"/>
        <v>44</v>
      </c>
      <c r="AT129" s="305">
        <f t="shared" si="4"/>
        <v>45</v>
      </c>
      <c r="AU129" s="305">
        <f t="shared" si="4"/>
        <v>46</v>
      </c>
      <c r="AV129" s="305">
        <f t="shared" si="4"/>
        <v>47</v>
      </c>
      <c r="AW129" s="305">
        <f t="shared" si="4"/>
        <v>48</v>
      </c>
      <c r="AX129" s="305">
        <f t="shared" si="4"/>
        <v>49</v>
      </c>
      <c r="AY129" s="305">
        <f t="shared" si="4"/>
        <v>50</v>
      </c>
    </row>
    <row r="130" spans="27:51">
      <c r="AB130" s="305">
        <f>AA129+1</f>
        <v>27</v>
      </c>
      <c r="AC130" s="305">
        <f t="shared" si="4"/>
        <v>28</v>
      </c>
      <c r="AD130" s="305">
        <f t="shared" si="4"/>
        <v>29</v>
      </c>
      <c r="AE130" s="305">
        <f t="shared" si="4"/>
        <v>30</v>
      </c>
      <c r="AF130" s="305">
        <f t="shared" si="4"/>
        <v>31</v>
      </c>
      <c r="AG130" s="305">
        <f t="shared" si="4"/>
        <v>32</v>
      </c>
      <c r="AH130" s="305">
        <f t="shared" si="4"/>
        <v>33</v>
      </c>
      <c r="AI130" s="305">
        <f t="shared" si="4"/>
        <v>34</v>
      </c>
      <c r="AJ130" s="305">
        <f t="shared" si="4"/>
        <v>35</v>
      </c>
      <c r="AK130" s="305">
        <f t="shared" si="4"/>
        <v>36</v>
      </c>
      <c r="AL130" s="305">
        <f t="shared" si="4"/>
        <v>37</v>
      </c>
      <c r="AM130" s="305">
        <f t="shared" si="4"/>
        <v>38</v>
      </c>
      <c r="AN130" s="305">
        <f t="shared" si="4"/>
        <v>39</v>
      </c>
      <c r="AO130" s="305">
        <f t="shared" si="4"/>
        <v>40</v>
      </c>
      <c r="AP130" s="305">
        <f t="shared" si="4"/>
        <v>41</v>
      </c>
      <c r="AQ130" s="305">
        <f t="shared" si="4"/>
        <v>42</v>
      </c>
      <c r="AR130" s="305">
        <f t="shared" si="4"/>
        <v>43</v>
      </c>
      <c r="AS130" s="305">
        <f t="shared" si="4"/>
        <v>44</v>
      </c>
      <c r="AT130" s="305">
        <f t="shared" si="4"/>
        <v>45</v>
      </c>
      <c r="AU130" s="305">
        <f t="shared" si="4"/>
        <v>46</v>
      </c>
      <c r="AV130" s="305">
        <f t="shared" si="4"/>
        <v>47</v>
      </c>
      <c r="AW130" s="305">
        <f t="shared" si="4"/>
        <v>48</v>
      </c>
      <c r="AX130" s="305">
        <f t="shared" si="4"/>
        <v>49</v>
      </c>
      <c r="AY130" s="305">
        <f t="shared" si="4"/>
        <v>50</v>
      </c>
    </row>
    <row r="159" spans="17:21">
      <c r="Q159" s="305">
        <f>P128+1</f>
        <v>16</v>
      </c>
      <c r="R159" s="305">
        <f>Q159+1</f>
        <v>17</v>
      </c>
      <c r="S159" s="305">
        <f>R159+1</f>
        <v>18</v>
      </c>
      <c r="T159" s="305">
        <f>S159+1</f>
        <v>19</v>
      </c>
      <c r="U159" s="305">
        <f>T159+1</f>
        <v>20</v>
      </c>
    </row>
    <row r="168" spans="22:51">
      <c r="V168" s="305">
        <f>U159+1</f>
        <v>21</v>
      </c>
      <c r="W168" s="305">
        <f>V168+1</f>
        <v>22</v>
      </c>
      <c r="X168" s="305">
        <f>W168+1</f>
        <v>23</v>
      </c>
      <c r="Y168" s="305">
        <f>X168+1</f>
        <v>24</v>
      </c>
      <c r="Z168" s="305">
        <f>Y168+1</f>
        <v>25</v>
      </c>
    </row>
    <row r="169" spans="22:51">
      <c r="AA169" s="305">
        <f>Z168+1</f>
        <v>26</v>
      </c>
    </row>
    <row r="170" spans="22:51">
      <c r="AB170" s="305">
        <f>AA169+1</f>
        <v>27</v>
      </c>
      <c r="AC170" s="305">
        <f t="shared" ref="AC170:AY170" si="5">AB170+1</f>
        <v>28</v>
      </c>
      <c r="AD170" s="305">
        <f t="shared" si="5"/>
        <v>29</v>
      </c>
      <c r="AE170" s="305">
        <f t="shared" si="5"/>
        <v>30</v>
      </c>
      <c r="AF170" s="305">
        <f t="shared" si="5"/>
        <v>31</v>
      </c>
      <c r="AG170" s="305">
        <f t="shared" si="5"/>
        <v>32</v>
      </c>
      <c r="AH170" s="305">
        <f t="shared" si="5"/>
        <v>33</v>
      </c>
      <c r="AI170" s="305">
        <f t="shared" si="5"/>
        <v>34</v>
      </c>
      <c r="AJ170" s="305">
        <f t="shared" si="5"/>
        <v>35</v>
      </c>
      <c r="AK170" s="305">
        <f t="shared" si="5"/>
        <v>36</v>
      </c>
      <c r="AL170" s="305">
        <f t="shared" si="5"/>
        <v>37</v>
      </c>
      <c r="AM170" s="305">
        <f t="shared" si="5"/>
        <v>38</v>
      </c>
      <c r="AN170" s="305">
        <f t="shared" si="5"/>
        <v>39</v>
      </c>
      <c r="AO170" s="305">
        <f t="shared" si="5"/>
        <v>40</v>
      </c>
      <c r="AP170" s="305">
        <f t="shared" si="5"/>
        <v>41</v>
      </c>
      <c r="AQ170" s="305">
        <f t="shared" si="5"/>
        <v>42</v>
      </c>
      <c r="AR170" s="305">
        <f t="shared" si="5"/>
        <v>43</v>
      </c>
      <c r="AS170" s="305">
        <f t="shared" si="5"/>
        <v>44</v>
      </c>
      <c r="AT170" s="305">
        <f t="shared" si="5"/>
        <v>45</v>
      </c>
      <c r="AU170" s="305">
        <f t="shared" si="5"/>
        <v>46</v>
      </c>
      <c r="AV170" s="305">
        <f t="shared" si="5"/>
        <v>47</v>
      </c>
      <c r="AW170" s="305">
        <f t="shared" si="5"/>
        <v>48</v>
      </c>
      <c r="AX170" s="305">
        <f t="shared" si="5"/>
        <v>49</v>
      </c>
      <c r="AY170" s="305">
        <f t="shared" si="5"/>
        <v>50</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AEEA-91DF-4164-A073-E0CFFCC2D1D7}">
  <sheetPr>
    <tabColor rgb="FF00B050"/>
  </sheetPr>
  <dimension ref="A2:AZ78"/>
  <sheetViews>
    <sheetView workbookViewId="0">
      <selection activeCell="H28" sqref="H28"/>
    </sheetView>
  </sheetViews>
  <sheetFormatPr defaultColWidth="8.875" defaultRowHeight="14.25"/>
  <cols>
    <col min="1" max="7" width="11.25" style="305" customWidth="1"/>
    <col min="8" max="11" width="12" style="305" customWidth="1"/>
    <col min="12" max="12" width="13.75" style="305" bestFit="1" customWidth="1"/>
    <col min="13" max="13" width="21.375" style="305" bestFit="1" customWidth="1"/>
    <col min="14" max="18" width="12" style="305" customWidth="1"/>
    <col min="19" max="16384" width="8.875" style="305"/>
  </cols>
  <sheetData>
    <row r="2" spans="1:9" ht="15">
      <c r="A2" s="250" t="s">
        <v>146</v>
      </c>
      <c r="B2" s="250"/>
    </row>
    <row r="3" spans="1:9">
      <c r="A3" s="305" t="s">
        <v>123</v>
      </c>
    </row>
    <row r="5" spans="1:9">
      <c r="A5" s="305" t="s">
        <v>124</v>
      </c>
    </row>
    <row r="7" spans="1:9" ht="14.25" customHeight="1">
      <c r="A7" s="306"/>
      <c r="B7" s="307" t="s">
        <v>89</v>
      </c>
      <c r="C7" s="308"/>
      <c r="D7" s="308"/>
      <c r="E7" s="308"/>
      <c r="F7" s="309"/>
      <c r="G7" s="354"/>
      <c r="H7" s="354"/>
      <c r="I7" s="354"/>
    </row>
    <row r="8" spans="1:9" ht="15">
      <c r="A8" s="311" t="s">
        <v>1</v>
      </c>
      <c r="B8" s="256">
        <v>0</v>
      </c>
      <c r="C8" s="257">
        <v>2.5000000000000001E-3</v>
      </c>
      <c r="D8" s="257">
        <v>5.0000000000000001E-3</v>
      </c>
      <c r="E8" s="257">
        <v>7.4999999999999997E-3</v>
      </c>
      <c r="F8" s="258">
        <v>0.01</v>
      </c>
      <c r="G8" s="349"/>
      <c r="H8" s="310" t="s">
        <v>152</v>
      </c>
      <c r="I8" s="349"/>
    </row>
    <row r="9" spans="1:9">
      <c r="A9" s="312">
        <v>1</v>
      </c>
      <c r="B9" s="325">
        <v>2E-3</v>
      </c>
      <c r="C9" s="335">
        <v>4.5000000000000005E-3</v>
      </c>
      <c r="D9" s="335">
        <v>7.0000000000000001E-3</v>
      </c>
      <c r="E9" s="335">
        <v>9.4999999999999998E-3</v>
      </c>
      <c r="F9" s="336">
        <v>1.2E-2</v>
      </c>
      <c r="G9" s="335"/>
      <c r="H9" s="351">
        <v>1</v>
      </c>
      <c r="I9" s="351"/>
    </row>
    <row r="10" spans="1:9">
      <c r="A10" s="312">
        <f t="shared" ref="A10:A23" si="0">A9+1</f>
        <v>2</v>
      </c>
      <c r="B10" s="328">
        <v>2E-3</v>
      </c>
      <c r="C10" s="335">
        <v>4.5000000000000005E-3</v>
      </c>
      <c r="D10" s="335">
        <v>7.0000000000000001E-3</v>
      </c>
      <c r="E10" s="335">
        <v>9.4999999999999998E-3</v>
      </c>
      <c r="F10" s="336">
        <v>1.2E-2</v>
      </c>
      <c r="G10" s="335"/>
      <c r="H10" s="351">
        <v>1</v>
      </c>
      <c r="I10" s="351"/>
    </row>
    <row r="11" spans="1:9">
      <c r="A11" s="312">
        <f t="shared" si="0"/>
        <v>3</v>
      </c>
      <c r="B11" s="328">
        <v>2E-3</v>
      </c>
      <c r="C11" s="335">
        <v>4.5000000000000005E-3</v>
      </c>
      <c r="D11" s="335">
        <v>7.0000000000000001E-3</v>
      </c>
      <c r="E11" s="335">
        <v>9.4999999999999998E-3</v>
      </c>
      <c r="F11" s="336">
        <v>1.2E-2</v>
      </c>
      <c r="G11" s="335"/>
      <c r="H11" s="351">
        <v>1</v>
      </c>
      <c r="I11" s="351"/>
    </row>
    <row r="12" spans="1:9">
      <c r="A12" s="312">
        <f t="shared" si="0"/>
        <v>4</v>
      </c>
      <c r="B12" s="328">
        <v>6.6588262069976305E-3</v>
      </c>
      <c r="C12" s="335">
        <v>8.1025770082358423E-3</v>
      </c>
      <c r="D12" s="335">
        <v>1.0200789219463574E-2</v>
      </c>
      <c r="E12" s="335">
        <v>1.1004455729163271E-2</v>
      </c>
      <c r="F12" s="336">
        <v>1.2541277194264108E-2</v>
      </c>
      <c r="G12" s="335"/>
      <c r="H12" s="351">
        <v>0.90000000000000013</v>
      </c>
      <c r="I12" s="351"/>
    </row>
    <row r="13" spans="1:9">
      <c r="A13" s="312">
        <f t="shared" si="0"/>
        <v>5</v>
      </c>
      <c r="B13" s="328">
        <v>6.6588262069976305E-3</v>
      </c>
      <c r="C13" s="335">
        <v>8.1025770082358423E-3</v>
      </c>
      <c r="D13" s="335">
        <v>1.0200789219463574E-2</v>
      </c>
      <c r="E13" s="335">
        <v>1.1004455729163271E-2</v>
      </c>
      <c r="F13" s="336">
        <v>1.2541277194264108E-2</v>
      </c>
      <c r="G13" s="335"/>
      <c r="H13" s="351">
        <v>0.90000000000000013</v>
      </c>
      <c r="I13" s="351"/>
    </row>
    <row r="14" spans="1:9">
      <c r="A14" s="312">
        <f t="shared" si="0"/>
        <v>6</v>
      </c>
      <c r="B14" s="328">
        <v>6.6588262069976305E-3</v>
      </c>
      <c r="C14" s="335">
        <v>8.1025770082358423E-3</v>
      </c>
      <c r="D14" s="335">
        <v>1.0200789219463574E-2</v>
      </c>
      <c r="E14" s="335">
        <v>1.1004455729163271E-2</v>
      </c>
      <c r="F14" s="336">
        <v>1.2541277194264108E-2</v>
      </c>
      <c r="G14" s="335"/>
      <c r="H14" s="351">
        <v>0.90000000000000013</v>
      </c>
      <c r="I14" s="351"/>
    </row>
    <row r="15" spans="1:9">
      <c r="A15" s="312">
        <f t="shared" si="0"/>
        <v>7</v>
      </c>
      <c r="B15" s="328">
        <v>5.6600022759479857E-3</v>
      </c>
      <c r="C15" s="335">
        <v>6.8871904570004657E-3</v>
      </c>
      <c r="D15" s="335">
        <v>8.670670836544039E-3</v>
      </c>
      <c r="E15" s="335">
        <v>9.3537873697887783E-3</v>
      </c>
      <c r="F15" s="336">
        <v>1.0660085615124494E-2</v>
      </c>
      <c r="G15" s="335"/>
      <c r="H15" s="351">
        <v>0.76500000000000012</v>
      </c>
      <c r="I15" s="351"/>
    </row>
    <row r="16" spans="1:9">
      <c r="A16" s="312">
        <f t="shared" si="0"/>
        <v>8</v>
      </c>
      <c r="B16" s="328">
        <v>3.3294131034988152E-3</v>
      </c>
      <c r="C16" s="335">
        <v>4.0512885041179211E-3</v>
      </c>
      <c r="D16" s="335">
        <v>5.100394609731787E-3</v>
      </c>
      <c r="E16" s="335">
        <v>5.5022278645816356E-3</v>
      </c>
      <c r="F16" s="336">
        <v>6.2706385971320541E-3</v>
      </c>
      <c r="G16" s="335"/>
      <c r="H16" s="351">
        <v>0.45000000000000007</v>
      </c>
      <c r="I16" s="351"/>
    </row>
    <row r="17" spans="1:9">
      <c r="A17" s="312">
        <f t="shared" si="0"/>
        <v>9</v>
      </c>
      <c r="B17" s="328">
        <v>9.9882393104964453E-4</v>
      </c>
      <c r="C17" s="335">
        <v>1.2153865512353761E-3</v>
      </c>
      <c r="D17" s="335">
        <v>1.5301183829195359E-3</v>
      </c>
      <c r="E17" s="335">
        <v>1.6506683593744903E-3</v>
      </c>
      <c r="F17" s="336">
        <v>1.8811915791396164E-3</v>
      </c>
      <c r="G17" s="335"/>
      <c r="H17" s="351">
        <v>0.13500000000000001</v>
      </c>
      <c r="I17" s="351"/>
    </row>
    <row r="18" spans="1:9">
      <c r="A18" s="312">
        <f t="shared" si="0"/>
        <v>10</v>
      </c>
      <c r="B18" s="328">
        <v>0</v>
      </c>
      <c r="C18" s="335">
        <v>0</v>
      </c>
      <c r="D18" s="335">
        <v>0</v>
      </c>
      <c r="E18" s="335">
        <v>0</v>
      </c>
      <c r="F18" s="336">
        <v>0</v>
      </c>
      <c r="G18" s="335"/>
      <c r="H18" s="351">
        <v>0</v>
      </c>
      <c r="I18" s="351"/>
    </row>
    <row r="19" spans="1:9">
      <c r="A19" s="312">
        <f t="shared" si="0"/>
        <v>11</v>
      </c>
      <c r="B19" s="328">
        <v>0</v>
      </c>
      <c r="C19" s="335">
        <v>0</v>
      </c>
      <c r="D19" s="335">
        <v>0</v>
      </c>
      <c r="E19" s="335">
        <v>0</v>
      </c>
      <c r="F19" s="336">
        <v>0</v>
      </c>
      <c r="G19" s="335"/>
      <c r="H19" s="351">
        <v>0</v>
      </c>
      <c r="I19" s="351"/>
    </row>
    <row r="20" spans="1:9">
      <c r="A20" s="312">
        <f t="shared" si="0"/>
        <v>12</v>
      </c>
      <c r="B20" s="328">
        <v>0</v>
      </c>
      <c r="C20" s="335">
        <v>0</v>
      </c>
      <c r="D20" s="335">
        <v>0</v>
      </c>
      <c r="E20" s="335">
        <v>0</v>
      </c>
      <c r="F20" s="336">
        <v>0</v>
      </c>
      <c r="G20" s="335"/>
      <c r="H20" s="351">
        <v>0</v>
      </c>
      <c r="I20" s="351"/>
    </row>
    <row r="21" spans="1:9">
      <c r="A21" s="312">
        <f t="shared" si="0"/>
        <v>13</v>
      </c>
      <c r="B21" s="328">
        <v>0</v>
      </c>
      <c r="C21" s="335">
        <v>0</v>
      </c>
      <c r="D21" s="335">
        <v>0</v>
      </c>
      <c r="E21" s="335">
        <v>0</v>
      </c>
      <c r="F21" s="336">
        <v>0</v>
      </c>
      <c r="G21" s="335"/>
      <c r="H21" s="351">
        <v>0</v>
      </c>
      <c r="I21" s="351"/>
    </row>
    <row r="22" spans="1:9">
      <c r="A22" s="312">
        <f t="shared" si="0"/>
        <v>14</v>
      </c>
      <c r="B22" s="328">
        <v>0</v>
      </c>
      <c r="C22" s="335">
        <v>0</v>
      </c>
      <c r="D22" s="335">
        <v>0</v>
      </c>
      <c r="E22" s="335">
        <v>0</v>
      </c>
      <c r="F22" s="336">
        <v>0</v>
      </c>
      <c r="G22" s="335"/>
      <c r="H22" s="351">
        <v>0</v>
      </c>
      <c r="I22" s="351"/>
    </row>
    <row r="23" spans="1:9">
      <c r="A23" s="320">
        <f t="shared" si="0"/>
        <v>15</v>
      </c>
      <c r="B23" s="329">
        <v>0</v>
      </c>
      <c r="C23" s="340">
        <v>0</v>
      </c>
      <c r="D23" s="340">
        <v>0</v>
      </c>
      <c r="E23" s="340">
        <v>0</v>
      </c>
      <c r="F23" s="341">
        <v>0</v>
      </c>
      <c r="G23" s="335"/>
      <c r="H23" s="351">
        <v>0</v>
      </c>
      <c r="I23" s="351"/>
    </row>
    <row r="24" spans="1:9">
      <c r="C24" s="305" t="s">
        <v>61</v>
      </c>
      <c r="D24" s="305" t="s">
        <v>61</v>
      </c>
      <c r="E24" s="305" t="s">
        <v>61</v>
      </c>
      <c r="F24" s="305" t="s">
        <v>61</v>
      </c>
      <c r="H24" s="305" t="s">
        <v>61</v>
      </c>
    </row>
    <row r="25" spans="1:9">
      <c r="A25" s="305" t="s">
        <v>154</v>
      </c>
    </row>
    <row r="26" spans="1:9">
      <c r="A26" s="305" t="s">
        <v>153</v>
      </c>
    </row>
    <row r="28" spans="1:9">
      <c r="A28" s="324" t="s">
        <v>157</v>
      </c>
    </row>
    <row r="29" spans="1:9">
      <c r="A29" s="305" t="s">
        <v>155</v>
      </c>
    </row>
    <row r="30" spans="1:9">
      <c r="A30" s="305" t="s">
        <v>160</v>
      </c>
    </row>
    <row r="32" spans="1:9">
      <c r="A32" s="324" t="s">
        <v>158</v>
      </c>
    </row>
    <row r="33" spans="1:52">
      <c r="A33" s="305" t="s">
        <v>159</v>
      </c>
    </row>
    <row r="37" spans="1:52">
      <c r="M37" s="305">
        <f t="shared" ref="M37:AB37" si="1">L37+1</f>
        <v>1</v>
      </c>
      <c r="N37" s="305">
        <f t="shared" si="1"/>
        <v>2</v>
      </c>
      <c r="O37" s="305">
        <f t="shared" si="1"/>
        <v>3</v>
      </c>
      <c r="P37" s="305">
        <f t="shared" si="1"/>
        <v>4</v>
      </c>
      <c r="Q37" s="305">
        <f t="shared" si="1"/>
        <v>5</v>
      </c>
      <c r="R37" s="305">
        <f t="shared" si="1"/>
        <v>6</v>
      </c>
      <c r="S37" s="305">
        <f t="shared" si="1"/>
        <v>7</v>
      </c>
      <c r="T37" s="305">
        <f t="shared" si="1"/>
        <v>8</v>
      </c>
      <c r="U37" s="305">
        <f t="shared" si="1"/>
        <v>9</v>
      </c>
      <c r="V37" s="305">
        <f t="shared" si="1"/>
        <v>10</v>
      </c>
      <c r="W37" s="305">
        <f t="shared" si="1"/>
        <v>11</v>
      </c>
      <c r="X37" s="305">
        <f t="shared" si="1"/>
        <v>12</v>
      </c>
      <c r="Y37" s="305">
        <f t="shared" si="1"/>
        <v>13</v>
      </c>
      <c r="Z37" s="305">
        <f t="shared" si="1"/>
        <v>14</v>
      </c>
      <c r="AA37" s="305">
        <f t="shared" si="1"/>
        <v>15</v>
      </c>
      <c r="AB37" s="305">
        <f t="shared" si="1"/>
        <v>16</v>
      </c>
      <c r="AC37" s="305">
        <f>AB36+1</f>
        <v>1</v>
      </c>
      <c r="AD37" s="305">
        <f t="shared" ref="AD37:AZ37" si="2">AC37+1</f>
        <v>2</v>
      </c>
      <c r="AE37" s="305">
        <f t="shared" si="2"/>
        <v>3</v>
      </c>
      <c r="AF37" s="305">
        <f t="shared" si="2"/>
        <v>4</v>
      </c>
      <c r="AG37" s="305">
        <f t="shared" si="2"/>
        <v>5</v>
      </c>
      <c r="AH37" s="305">
        <f t="shared" si="2"/>
        <v>6</v>
      </c>
      <c r="AI37" s="305">
        <f t="shared" si="2"/>
        <v>7</v>
      </c>
      <c r="AJ37" s="305">
        <f t="shared" si="2"/>
        <v>8</v>
      </c>
      <c r="AK37" s="305">
        <f t="shared" si="2"/>
        <v>9</v>
      </c>
      <c r="AL37" s="305">
        <f t="shared" si="2"/>
        <v>10</v>
      </c>
      <c r="AM37" s="305">
        <f t="shared" si="2"/>
        <v>11</v>
      </c>
      <c r="AN37" s="305">
        <f t="shared" si="2"/>
        <v>12</v>
      </c>
      <c r="AO37" s="305">
        <f t="shared" si="2"/>
        <v>13</v>
      </c>
      <c r="AP37" s="305">
        <f t="shared" si="2"/>
        <v>14</v>
      </c>
      <c r="AQ37" s="305">
        <f t="shared" si="2"/>
        <v>15</v>
      </c>
      <c r="AR37" s="305">
        <f t="shared" si="2"/>
        <v>16</v>
      </c>
      <c r="AS37" s="305">
        <f t="shared" si="2"/>
        <v>17</v>
      </c>
      <c r="AT37" s="305">
        <f t="shared" si="2"/>
        <v>18</v>
      </c>
      <c r="AU37" s="305">
        <f t="shared" si="2"/>
        <v>19</v>
      </c>
      <c r="AV37" s="305">
        <f t="shared" si="2"/>
        <v>20</v>
      </c>
      <c r="AW37" s="305">
        <f t="shared" si="2"/>
        <v>21</v>
      </c>
      <c r="AX37" s="305">
        <f t="shared" si="2"/>
        <v>22</v>
      </c>
      <c r="AY37" s="305">
        <f t="shared" si="2"/>
        <v>23</v>
      </c>
      <c r="AZ37" s="305">
        <f t="shared" si="2"/>
        <v>24</v>
      </c>
    </row>
    <row r="38" spans="1:52">
      <c r="AC38" s="305">
        <f>AB37+1</f>
        <v>17</v>
      </c>
      <c r="AD38" s="305">
        <f t="shared" ref="AD38:AZ38" si="3">AC38+1</f>
        <v>18</v>
      </c>
      <c r="AE38" s="305">
        <f t="shared" si="3"/>
        <v>19</v>
      </c>
      <c r="AF38" s="305">
        <f t="shared" si="3"/>
        <v>20</v>
      </c>
      <c r="AG38" s="305">
        <f t="shared" si="3"/>
        <v>21</v>
      </c>
      <c r="AH38" s="305">
        <f t="shared" si="3"/>
        <v>22</v>
      </c>
      <c r="AI38" s="305">
        <f t="shared" si="3"/>
        <v>23</v>
      </c>
      <c r="AJ38" s="305">
        <f t="shared" si="3"/>
        <v>24</v>
      </c>
      <c r="AK38" s="305">
        <f t="shared" si="3"/>
        <v>25</v>
      </c>
      <c r="AL38" s="305">
        <f t="shared" si="3"/>
        <v>26</v>
      </c>
      <c r="AM38" s="305">
        <f t="shared" si="3"/>
        <v>27</v>
      </c>
      <c r="AN38" s="305">
        <f t="shared" si="3"/>
        <v>28</v>
      </c>
      <c r="AO38" s="305">
        <f t="shared" si="3"/>
        <v>29</v>
      </c>
      <c r="AP38" s="305">
        <f t="shared" si="3"/>
        <v>30</v>
      </c>
      <c r="AQ38" s="305">
        <f t="shared" si="3"/>
        <v>31</v>
      </c>
      <c r="AR38" s="305">
        <f t="shared" si="3"/>
        <v>32</v>
      </c>
      <c r="AS38" s="305">
        <f t="shared" si="3"/>
        <v>33</v>
      </c>
      <c r="AT38" s="305">
        <f t="shared" si="3"/>
        <v>34</v>
      </c>
      <c r="AU38" s="305">
        <f t="shared" si="3"/>
        <v>35</v>
      </c>
      <c r="AV38" s="305">
        <f t="shared" si="3"/>
        <v>36</v>
      </c>
      <c r="AW38" s="305">
        <f t="shared" si="3"/>
        <v>37</v>
      </c>
      <c r="AX38" s="305">
        <f t="shared" si="3"/>
        <v>38</v>
      </c>
      <c r="AY38" s="305">
        <f t="shared" si="3"/>
        <v>39</v>
      </c>
      <c r="AZ38" s="305">
        <f t="shared" si="3"/>
        <v>40</v>
      </c>
    </row>
    <row r="68" spans="18:52">
      <c r="R68" s="305">
        <f>Q37+1</f>
        <v>6</v>
      </c>
      <c r="S68" s="305">
        <f>R68+1</f>
        <v>7</v>
      </c>
      <c r="T68" s="305">
        <f>S68+1</f>
        <v>8</v>
      </c>
      <c r="U68" s="305">
        <f>T68+1</f>
        <v>9</v>
      </c>
      <c r="V68" s="305">
        <f>U68+1</f>
        <v>10</v>
      </c>
    </row>
    <row r="77" spans="18:52">
      <c r="W77" s="305">
        <f>V68+1</f>
        <v>11</v>
      </c>
      <c r="X77" s="305">
        <f>W77+1</f>
        <v>12</v>
      </c>
      <c r="Y77" s="305">
        <f>X77+1</f>
        <v>13</v>
      </c>
      <c r="Z77" s="305">
        <f>Y77+1</f>
        <v>14</v>
      </c>
      <c r="AA77" s="305">
        <f>Z77+1</f>
        <v>15</v>
      </c>
      <c r="AB77" s="305">
        <f>AA77+1</f>
        <v>16</v>
      </c>
    </row>
    <row r="78" spans="18:52">
      <c r="AC78" s="305">
        <f>AB77+1</f>
        <v>17</v>
      </c>
      <c r="AD78" s="305">
        <f t="shared" ref="AD78:AZ78" si="4">AC78+1</f>
        <v>18</v>
      </c>
      <c r="AE78" s="305">
        <f t="shared" si="4"/>
        <v>19</v>
      </c>
      <c r="AF78" s="305">
        <f t="shared" si="4"/>
        <v>20</v>
      </c>
      <c r="AG78" s="305">
        <f t="shared" si="4"/>
        <v>21</v>
      </c>
      <c r="AH78" s="305">
        <f t="shared" si="4"/>
        <v>22</v>
      </c>
      <c r="AI78" s="305">
        <f t="shared" si="4"/>
        <v>23</v>
      </c>
      <c r="AJ78" s="305">
        <f t="shared" si="4"/>
        <v>24</v>
      </c>
      <c r="AK78" s="305">
        <f t="shared" si="4"/>
        <v>25</v>
      </c>
      <c r="AL78" s="305">
        <f t="shared" si="4"/>
        <v>26</v>
      </c>
      <c r="AM78" s="305">
        <f t="shared" si="4"/>
        <v>27</v>
      </c>
      <c r="AN78" s="305">
        <f t="shared" si="4"/>
        <v>28</v>
      </c>
      <c r="AO78" s="305">
        <f t="shared" si="4"/>
        <v>29</v>
      </c>
      <c r="AP78" s="305">
        <f t="shared" si="4"/>
        <v>30</v>
      </c>
      <c r="AQ78" s="305">
        <f t="shared" si="4"/>
        <v>31</v>
      </c>
      <c r="AR78" s="305">
        <f t="shared" si="4"/>
        <v>32</v>
      </c>
      <c r="AS78" s="305">
        <f t="shared" si="4"/>
        <v>33</v>
      </c>
      <c r="AT78" s="305">
        <f t="shared" si="4"/>
        <v>34</v>
      </c>
      <c r="AU78" s="305">
        <f t="shared" si="4"/>
        <v>35</v>
      </c>
      <c r="AV78" s="305">
        <f t="shared" si="4"/>
        <v>36</v>
      </c>
      <c r="AW78" s="305">
        <f t="shared" si="4"/>
        <v>37</v>
      </c>
      <c r="AX78" s="305">
        <f t="shared" si="4"/>
        <v>38</v>
      </c>
      <c r="AY78" s="305">
        <f t="shared" si="4"/>
        <v>39</v>
      </c>
      <c r="AZ78" s="305">
        <f t="shared" si="4"/>
        <v>40</v>
      </c>
    </row>
  </sheetData>
  <mergeCells count="1">
    <mergeCell ref="B7: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5F9A-9E1D-4DCC-BCD2-D0B9554A7BA1}">
  <sheetPr>
    <tabColor rgb="FF00B050"/>
  </sheetPr>
  <dimension ref="A1:BA47"/>
  <sheetViews>
    <sheetView showGridLines="0" topLeftCell="A12" workbookViewId="0">
      <selection activeCell="A32" sqref="A32:XFD33"/>
    </sheetView>
  </sheetViews>
  <sheetFormatPr defaultColWidth="8.875" defaultRowHeight="14.25"/>
  <cols>
    <col min="1" max="2" width="11.25" customWidth="1"/>
    <col min="3" max="3" width="4.375" customWidth="1"/>
    <col min="4" max="10" width="11.25" customWidth="1"/>
    <col min="11" max="12" width="12" customWidth="1"/>
    <col min="13" max="13" width="13.75" bestFit="1" customWidth="1"/>
    <col min="14" max="14" width="21.375" bestFit="1" customWidth="1"/>
    <col min="15" max="19" width="12" customWidth="1"/>
  </cols>
  <sheetData>
    <row r="1" spans="1:13" ht="15">
      <c r="A1" s="250" t="s">
        <v>128</v>
      </c>
      <c r="B1" s="250"/>
      <c r="C1" s="250"/>
    </row>
    <row r="2" spans="1:13">
      <c r="A2" t="s">
        <v>106</v>
      </c>
    </row>
    <row r="3" spans="1:13">
      <c r="A3" t="s">
        <v>105</v>
      </c>
    </row>
    <row r="5" spans="1:13">
      <c r="A5" t="s">
        <v>124</v>
      </c>
    </row>
    <row r="7" spans="1:13" ht="14.25" customHeight="1">
      <c r="A7" s="221"/>
      <c r="B7" s="275" t="s">
        <v>89</v>
      </c>
      <c r="C7" s="276"/>
      <c r="D7" s="276"/>
      <c r="E7" s="276"/>
      <c r="F7" s="276"/>
      <c r="G7" s="276"/>
      <c r="H7" s="276"/>
      <c r="I7" s="276"/>
      <c r="J7" s="277"/>
    </row>
    <row r="8" spans="1:13" ht="15">
      <c r="A8" s="222" t="s">
        <v>1</v>
      </c>
      <c r="B8" s="256">
        <v>0</v>
      </c>
      <c r="C8" s="259"/>
      <c r="D8" s="251">
        <v>1.2500000000000001E-2</v>
      </c>
      <c r="E8" s="251">
        <v>1.4999999999999999E-2</v>
      </c>
      <c r="F8" s="251">
        <v>1.7500000000000002E-2</v>
      </c>
      <c r="G8" s="251">
        <v>0.02</v>
      </c>
      <c r="H8" s="251">
        <v>2.2499999999999999E-2</v>
      </c>
      <c r="I8" s="251">
        <v>2.5000000000000001E-2</v>
      </c>
      <c r="J8" s="255">
        <v>2.75E-2</v>
      </c>
      <c r="L8" s="272" t="s">
        <v>152</v>
      </c>
    </row>
    <row r="9" spans="1:13">
      <c r="A9" s="13">
        <v>1</v>
      </c>
      <c r="B9" s="253">
        <v>3.0000000000000001E-3</v>
      </c>
      <c r="C9" s="260"/>
      <c r="D9" s="223">
        <v>1.55E-2</v>
      </c>
      <c r="E9" s="223">
        <v>1.7999999999999999E-2</v>
      </c>
      <c r="F9" s="163">
        <v>2.0500000000000001E-2</v>
      </c>
      <c r="G9" s="163">
        <v>2.3E-2</v>
      </c>
      <c r="H9" s="163">
        <v>2.5499999999999998E-2</v>
      </c>
      <c r="I9" s="163">
        <v>2.8000000000000001E-2</v>
      </c>
      <c r="J9" s="232">
        <v>3.0499999999999999E-2</v>
      </c>
      <c r="L9" s="271">
        <v>1</v>
      </c>
      <c r="M9" s="270"/>
    </row>
    <row r="10" spans="1:13">
      <c r="A10" s="13">
        <f>A9+1</f>
        <v>2</v>
      </c>
      <c r="B10" s="253">
        <v>3.0000000000000001E-3</v>
      </c>
      <c r="C10" s="260"/>
      <c r="D10" s="161">
        <v>1.55E-2</v>
      </c>
      <c r="E10" s="161">
        <v>1.7999999999999999E-2</v>
      </c>
      <c r="F10" s="210">
        <v>2.0500000000000001E-2</v>
      </c>
      <c r="G10" s="210">
        <v>2.3E-2</v>
      </c>
      <c r="H10" s="210">
        <v>2.5499999999999998E-2</v>
      </c>
      <c r="I10" s="210">
        <v>2.8000000000000001E-2</v>
      </c>
      <c r="J10" s="227">
        <v>3.0499999999999999E-2</v>
      </c>
      <c r="L10" s="271">
        <v>1</v>
      </c>
      <c r="M10" s="270"/>
    </row>
    <row r="11" spans="1:13">
      <c r="A11" s="13">
        <f t="shared" ref="A11:A22" si="0">A10+1</f>
        <v>3</v>
      </c>
      <c r="B11" s="253">
        <v>3.0000000000000001E-3</v>
      </c>
      <c r="C11" s="260"/>
      <c r="D11" s="161">
        <v>1.55E-2</v>
      </c>
      <c r="E11" s="161">
        <v>1.7999999999999999E-2</v>
      </c>
      <c r="F11" s="210">
        <v>2.0500000000000001E-2</v>
      </c>
      <c r="G11" s="210">
        <v>2.3E-2</v>
      </c>
      <c r="H11" s="210">
        <v>2.5499999999999998E-2</v>
      </c>
      <c r="I11" s="210">
        <v>2.8000000000000001E-2</v>
      </c>
      <c r="J11" s="227">
        <v>3.0499999999999999E-2</v>
      </c>
      <c r="L11" s="271">
        <v>1</v>
      </c>
      <c r="M11" s="270"/>
    </row>
    <row r="12" spans="1:13">
      <c r="A12" s="13">
        <f t="shared" si="0"/>
        <v>4</v>
      </c>
      <c r="B12" s="253">
        <v>3.0000000000000001E-3</v>
      </c>
      <c r="C12" s="260"/>
      <c r="D12" s="161">
        <v>1.55E-2</v>
      </c>
      <c r="E12" s="161">
        <v>1.7999999999999999E-2</v>
      </c>
      <c r="F12" s="210">
        <v>2.0500000000000001E-2</v>
      </c>
      <c r="G12" s="210">
        <v>2.3E-2</v>
      </c>
      <c r="H12" s="210">
        <v>2.5499999999999998E-2</v>
      </c>
      <c r="I12" s="210">
        <v>2.8000000000000001E-2</v>
      </c>
      <c r="J12" s="227">
        <v>3.0499999999999999E-2</v>
      </c>
      <c r="L12" s="271">
        <v>1</v>
      </c>
      <c r="M12" s="270"/>
    </row>
    <row r="13" spans="1:13">
      <c r="A13" s="13">
        <f t="shared" si="0"/>
        <v>5</v>
      </c>
      <c r="B13" s="253">
        <v>5.8592331857106404E-2</v>
      </c>
      <c r="C13" s="260"/>
      <c r="D13" s="161">
        <v>5.5617387430959384E-2</v>
      </c>
      <c r="E13" s="161">
        <v>5.5159263957303015E-2</v>
      </c>
      <c r="F13" s="210">
        <v>5.5124151088314421E-2</v>
      </c>
      <c r="G13" s="210">
        <v>5.5183376147118712E-2</v>
      </c>
      <c r="H13" s="210">
        <v>5.5271890610974442E-2</v>
      </c>
      <c r="I13" s="210">
        <v>5.5388926920834372E-2</v>
      </c>
      <c r="J13" s="227">
        <v>5.5533745825115569E-2</v>
      </c>
      <c r="L13" s="271">
        <v>0.90000000000000013</v>
      </c>
      <c r="M13" s="270"/>
    </row>
    <row r="14" spans="1:13">
      <c r="A14" s="13">
        <f t="shared" si="0"/>
        <v>6</v>
      </c>
      <c r="B14" s="253">
        <v>5.8592331857106404E-2</v>
      </c>
      <c r="C14" s="260"/>
      <c r="D14" s="161">
        <v>5.5617387430959384E-2</v>
      </c>
      <c r="E14" s="161">
        <v>5.5159263957303015E-2</v>
      </c>
      <c r="F14" s="210">
        <v>5.5124151088314421E-2</v>
      </c>
      <c r="G14" s="210">
        <v>5.5183376147118712E-2</v>
      </c>
      <c r="H14" s="210">
        <v>5.5271890610974442E-2</v>
      </c>
      <c r="I14" s="210">
        <v>5.5388926920834372E-2</v>
      </c>
      <c r="J14" s="227">
        <v>5.5533745825115569E-2</v>
      </c>
      <c r="L14" s="271">
        <v>0.90000000000000013</v>
      </c>
      <c r="M14" s="270"/>
    </row>
    <row r="15" spans="1:13">
      <c r="A15" s="13">
        <f t="shared" si="0"/>
        <v>7</v>
      </c>
      <c r="B15" s="253">
        <v>5.2000694523181928E-2</v>
      </c>
      <c r="C15" s="260"/>
      <c r="D15" s="161">
        <v>4.9360431344976446E-2</v>
      </c>
      <c r="E15" s="161">
        <v>4.8953846762106422E-2</v>
      </c>
      <c r="F15" s="210">
        <v>4.8922684090879048E-2</v>
      </c>
      <c r="G15" s="210">
        <v>4.8975246330567851E-2</v>
      </c>
      <c r="H15" s="210">
        <v>4.9053802917239805E-2</v>
      </c>
      <c r="I15" s="210">
        <v>4.9157672642240496E-2</v>
      </c>
      <c r="J15" s="227">
        <v>4.928619941979006E-2</v>
      </c>
      <c r="L15" s="271">
        <v>0.79875000000000018</v>
      </c>
      <c r="M15" s="270"/>
    </row>
    <row r="16" spans="1:13">
      <c r="A16" s="13">
        <f t="shared" si="0"/>
        <v>8</v>
      </c>
      <c r="B16" s="253">
        <v>3.7352611558905326E-2</v>
      </c>
      <c r="C16" s="260"/>
      <c r="D16" s="161">
        <v>3.5456084487236604E-2</v>
      </c>
      <c r="E16" s="161">
        <v>3.5164030772780672E-2</v>
      </c>
      <c r="F16" s="210">
        <v>3.5141646318800443E-2</v>
      </c>
      <c r="G16" s="210">
        <v>3.517940229378818E-2</v>
      </c>
      <c r="H16" s="210">
        <v>3.5235830264496205E-2</v>
      </c>
      <c r="I16" s="210">
        <v>3.5310440912031907E-2</v>
      </c>
      <c r="J16" s="227">
        <v>3.5402762963511178E-2</v>
      </c>
      <c r="L16" s="271">
        <v>0.57375000000000009</v>
      </c>
      <c r="M16" s="270"/>
    </row>
    <row r="17" spans="1:13">
      <c r="A17" s="13">
        <f t="shared" si="0"/>
        <v>9</v>
      </c>
      <c r="B17" s="253">
        <v>2.1239720298201068E-2</v>
      </c>
      <c r="C17" s="260"/>
      <c r="D17" s="161">
        <v>2.0161302943722776E-2</v>
      </c>
      <c r="E17" s="161">
        <v>1.9995233184522343E-2</v>
      </c>
      <c r="F17" s="210">
        <v>1.9982504769513978E-2</v>
      </c>
      <c r="G17" s="210">
        <v>2.0003973853330533E-2</v>
      </c>
      <c r="H17" s="210">
        <v>2.0036060346478233E-2</v>
      </c>
      <c r="I17" s="210">
        <v>2.0078486008802458E-2</v>
      </c>
      <c r="J17" s="227">
        <v>2.0130982861604391E-2</v>
      </c>
      <c r="L17" s="271">
        <v>0.32625000000000004</v>
      </c>
      <c r="M17" s="270"/>
    </row>
    <row r="18" spans="1:13">
      <c r="A18" s="13">
        <f t="shared" si="0"/>
        <v>10</v>
      </c>
      <c r="B18" s="253">
        <v>6.5916373339244688E-3</v>
      </c>
      <c r="C18" s="260"/>
      <c r="D18" s="161">
        <v>6.2569560859829301E-3</v>
      </c>
      <c r="E18" s="161">
        <v>6.2054171951965893E-3</v>
      </c>
      <c r="F18" s="210">
        <v>6.2014669974353722E-3</v>
      </c>
      <c r="G18" s="210">
        <v>6.2081298165508544E-3</v>
      </c>
      <c r="H18" s="210">
        <v>6.2180876937346242E-3</v>
      </c>
      <c r="I18" s="210">
        <v>6.231254278593867E-3</v>
      </c>
      <c r="J18" s="227">
        <v>6.2475464053255002E-3</v>
      </c>
      <c r="L18" s="271">
        <v>0.10125000000000002</v>
      </c>
      <c r="M18" s="270"/>
    </row>
    <row r="19" spans="1:13">
      <c r="A19" s="13">
        <f t="shared" si="0"/>
        <v>11</v>
      </c>
      <c r="B19" s="253">
        <v>5.2733098671395758E-3</v>
      </c>
      <c r="C19" s="260"/>
      <c r="D19" s="161">
        <v>5.0055648687863446E-3</v>
      </c>
      <c r="E19" s="161">
        <v>4.9643337561572718E-3</v>
      </c>
      <c r="F19" s="210">
        <v>4.9611735979482978E-3</v>
      </c>
      <c r="G19" s="210">
        <v>4.9665038532406836E-3</v>
      </c>
      <c r="H19" s="210">
        <v>4.9744701549876997E-3</v>
      </c>
      <c r="I19" s="210">
        <v>4.9850034228750943E-3</v>
      </c>
      <c r="J19" s="227">
        <v>4.9980371242604009E-3</v>
      </c>
      <c r="L19" s="271">
        <v>8.1000000000000016E-2</v>
      </c>
      <c r="M19" s="270"/>
    </row>
    <row r="20" spans="1:13">
      <c r="A20" s="13">
        <f t="shared" si="0"/>
        <v>12</v>
      </c>
      <c r="B20" s="253">
        <v>4.2186478937116609E-3</v>
      </c>
      <c r="C20" s="260"/>
      <c r="D20" s="161">
        <v>4.004451895029076E-3</v>
      </c>
      <c r="E20" s="161">
        <v>3.9714670049258178E-3</v>
      </c>
      <c r="F20" s="210">
        <v>3.9689388783586384E-3</v>
      </c>
      <c r="G20" s="210">
        <v>3.9732030825925472E-3</v>
      </c>
      <c r="H20" s="210">
        <v>3.9795761239901596E-3</v>
      </c>
      <c r="I20" s="210">
        <v>3.9880027383000756E-3</v>
      </c>
      <c r="J20" s="227">
        <v>3.9984296994083207E-3</v>
      </c>
      <c r="L20" s="271">
        <v>6.480000000000001E-2</v>
      </c>
      <c r="M20" s="270"/>
    </row>
    <row r="21" spans="1:13">
      <c r="A21" s="13">
        <f t="shared" si="0"/>
        <v>13</v>
      </c>
      <c r="B21" s="253">
        <v>3.374918314969329E-3</v>
      </c>
      <c r="C21" s="260"/>
      <c r="D21" s="161">
        <v>3.2035615160232612E-3</v>
      </c>
      <c r="E21" s="161">
        <v>3.1771736039406546E-3</v>
      </c>
      <c r="F21" s="210">
        <v>3.1751511026869108E-3</v>
      </c>
      <c r="G21" s="210">
        <v>3.1785624660740381E-3</v>
      </c>
      <c r="H21" s="210">
        <v>3.1836608991921279E-3</v>
      </c>
      <c r="I21" s="210">
        <v>3.1904021906400608E-3</v>
      </c>
      <c r="J21" s="227">
        <v>3.1987437595266568E-3</v>
      </c>
      <c r="L21" s="271">
        <v>5.1840000000000011E-2</v>
      </c>
      <c r="M21" s="270"/>
    </row>
    <row r="22" spans="1:13">
      <c r="A22" s="13">
        <f t="shared" si="0"/>
        <v>14</v>
      </c>
      <c r="B22" s="253">
        <v>2.6999346519754634E-3</v>
      </c>
      <c r="C22" s="260"/>
      <c r="D22" s="161">
        <v>2.5628492128186089E-3</v>
      </c>
      <c r="E22" s="161">
        <v>2.5417388831525238E-3</v>
      </c>
      <c r="F22" s="210">
        <v>2.5401208821495286E-3</v>
      </c>
      <c r="G22" s="210">
        <v>2.5428499728592305E-3</v>
      </c>
      <c r="H22" s="210">
        <v>2.5469287193537024E-3</v>
      </c>
      <c r="I22" s="210">
        <v>2.552321752512049E-3</v>
      </c>
      <c r="J22" s="227">
        <v>2.5589950076213256E-3</v>
      </c>
      <c r="L22" s="271">
        <v>4.1472000000000016E-2</v>
      </c>
      <c r="M22" s="270"/>
    </row>
    <row r="23" spans="1:13">
      <c r="A23" s="224">
        <f>A22+1</f>
        <v>15</v>
      </c>
      <c r="B23" s="254">
        <v>2.1599477215803707E-3</v>
      </c>
      <c r="C23" s="261"/>
      <c r="D23" s="225">
        <v>2.0502793702548874E-3</v>
      </c>
      <c r="E23" s="225">
        <v>2.0333911065220189E-3</v>
      </c>
      <c r="F23" s="233">
        <v>2.0320967057196231E-3</v>
      </c>
      <c r="G23" s="233">
        <v>2.0342799782873846E-3</v>
      </c>
      <c r="H23" s="233">
        <v>2.037542975482962E-3</v>
      </c>
      <c r="I23" s="233">
        <v>2.0418574020096393E-3</v>
      </c>
      <c r="J23" s="234">
        <v>2.0471960060970606E-3</v>
      </c>
      <c r="L23" s="271">
        <v>3.3177600000000015E-2</v>
      </c>
      <c r="M23" s="270"/>
    </row>
    <row r="24" spans="1:13">
      <c r="D24" s="2"/>
      <c r="E24" s="2"/>
      <c r="F24" s="2"/>
      <c r="G24" s="2"/>
      <c r="H24" s="2"/>
      <c r="I24" s="2"/>
      <c r="J24" s="2"/>
    </row>
    <row r="25" spans="1:13">
      <c r="A25" t="s">
        <v>154</v>
      </c>
    </row>
    <row r="26" spans="1:13">
      <c r="A26" t="s">
        <v>153</v>
      </c>
    </row>
    <row r="28" spans="1:13" s="290" customFormat="1">
      <c r="A28" s="289" t="s">
        <v>157</v>
      </c>
    </row>
    <row r="29" spans="1:13" s="290" customFormat="1">
      <c r="A29" s="290" t="s">
        <v>155</v>
      </c>
    </row>
    <row r="30" spans="1:13" s="290" customFormat="1">
      <c r="A30" s="290" t="s">
        <v>160</v>
      </c>
    </row>
    <row r="32" spans="1:13" s="290" customFormat="1">
      <c r="A32" s="289" t="s">
        <v>158</v>
      </c>
    </row>
    <row r="33" spans="1:53" s="290" customFormat="1">
      <c r="A33" s="290" t="s">
        <v>159</v>
      </c>
    </row>
    <row r="37" spans="1:53">
      <c r="S37" s="9"/>
      <c r="T37" s="9"/>
      <c r="U37" s="9"/>
      <c r="V37" s="9"/>
      <c r="W37" s="9"/>
    </row>
    <row r="46" spans="1:53">
      <c r="X46" s="9"/>
      <c r="Y46" s="9"/>
      <c r="Z46" s="9"/>
      <c r="AA46" s="9"/>
      <c r="AB46" s="9"/>
      <c r="AC46" s="9"/>
    </row>
    <row r="47" spans="1:53">
      <c r="AD47" s="9"/>
      <c r="AE47" s="9"/>
      <c r="AF47" s="9"/>
      <c r="AG47" s="9"/>
      <c r="AH47" s="9"/>
      <c r="AI47" s="9"/>
      <c r="AJ47" s="9"/>
      <c r="AK47" s="9"/>
      <c r="AL47" s="9"/>
      <c r="AM47" s="9"/>
      <c r="AN47" s="9"/>
      <c r="AO47" s="9"/>
      <c r="AP47" s="9"/>
      <c r="AQ47" s="9"/>
      <c r="AR47" s="9"/>
      <c r="AS47" s="9"/>
      <c r="AT47" s="9"/>
      <c r="AU47" s="9"/>
      <c r="AV47" s="9"/>
      <c r="AW47" s="9"/>
      <c r="AX47" s="9"/>
      <c r="AY47" s="9"/>
      <c r="AZ47" s="9"/>
      <c r="BA47" s="9"/>
    </row>
  </sheetData>
  <mergeCells count="1">
    <mergeCell ref="B7:J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AF47-C12D-4757-A9BE-29D7ED202213}">
  <sheetPr>
    <tabColor rgb="FF00B050"/>
  </sheetPr>
  <dimension ref="A2:V229"/>
  <sheetViews>
    <sheetView showGridLines="0" workbookViewId="0">
      <selection activeCell="A130" sqref="A130:XFD136"/>
    </sheetView>
  </sheetViews>
  <sheetFormatPr defaultColWidth="8.875" defaultRowHeight="14.25"/>
  <cols>
    <col min="1" max="1" width="27.75" customWidth="1"/>
    <col min="2" max="2" width="11.125" customWidth="1"/>
    <col min="3" max="3" width="6.875" customWidth="1"/>
    <col min="4" max="12" width="11.25" customWidth="1"/>
  </cols>
  <sheetData>
    <row r="2" spans="1:20" ht="15">
      <c r="A2" s="250" t="s">
        <v>129</v>
      </c>
      <c r="B2" s="250"/>
      <c r="C2" s="250"/>
    </row>
    <row r="3" spans="1:20">
      <c r="A3" t="s">
        <v>103</v>
      </c>
    </row>
    <row r="4" spans="1:20">
      <c r="A4" t="s">
        <v>107</v>
      </c>
    </row>
    <row r="6" spans="1:20">
      <c r="A6" t="s">
        <v>124</v>
      </c>
      <c r="L6" s="272" t="s">
        <v>152</v>
      </c>
    </row>
    <row r="8" spans="1:20" ht="15">
      <c r="A8" s="245" t="s">
        <v>98</v>
      </c>
      <c r="B8" s="278">
        <v>0</v>
      </c>
      <c r="C8" s="279"/>
      <c r="D8" s="279"/>
      <c r="E8" s="279"/>
      <c r="F8" s="279"/>
      <c r="G8" s="279"/>
      <c r="H8" s="279"/>
      <c r="I8" s="279"/>
      <c r="J8" s="280"/>
      <c r="L8" s="278">
        <v>0</v>
      </c>
      <c r="M8" s="279"/>
      <c r="N8" s="279"/>
      <c r="O8" s="279"/>
      <c r="P8" s="279"/>
      <c r="Q8" s="279"/>
      <c r="R8" s="279"/>
      <c r="S8" s="279"/>
      <c r="T8" s="280"/>
    </row>
    <row r="9" spans="1:20" ht="15">
      <c r="A9" s="246" t="s">
        <v>99</v>
      </c>
      <c r="B9" s="256">
        <v>0</v>
      </c>
      <c r="C9" s="259"/>
      <c r="D9" s="251">
        <v>1.2500000000000001E-2</v>
      </c>
      <c r="E9" s="251">
        <v>1.4999999999999999E-2</v>
      </c>
      <c r="F9" s="251">
        <v>1.7500000000000002E-2</v>
      </c>
      <c r="G9" s="251">
        <v>0.02</v>
      </c>
      <c r="H9" s="251">
        <v>2.2499999999999999E-2</v>
      </c>
      <c r="I9" s="251">
        <v>2.5000000000000001E-2</v>
      </c>
      <c r="J9" s="255">
        <v>2.75E-2</v>
      </c>
      <c r="L9" s="256">
        <v>0</v>
      </c>
      <c r="M9" s="259"/>
      <c r="N9" s="257">
        <v>1.2500000000000001E-2</v>
      </c>
      <c r="O9" s="257">
        <v>1.4999999999999999E-2</v>
      </c>
      <c r="P9" s="257">
        <v>1.7500000000000002E-2</v>
      </c>
      <c r="Q9" s="257">
        <v>0.02</v>
      </c>
      <c r="R9" s="257">
        <v>2.2499999999999999E-2</v>
      </c>
      <c r="S9" s="257">
        <v>2.5000000000000001E-2</v>
      </c>
      <c r="T9" s="258">
        <v>2.75E-2</v>
      </c>
    </row>
    <row r="10" spans="1:20">
      <c r="A10" s="247">
        <v>1</v>
      </c>
      <c r="B10" s="267">
        <v>1.66E-3</v>
      </c>
      <c r="C10" s="262"/>
      <c r="D10" s="223">
        <v>2.9100000000000003E-3</v>
      </c>
      <c r="E10" s="223">
        <v>3.16E-3</v>
      </c>
      <c r="F10" s="163">
        <v>3.4100000000000003E-3</v>
      </c>
      <c r="G10" s="163">
        <v>3.6600000000000001E-3</v>
      </c>
      <c r="H10" s="163">
        <v>3.9100000000000003E-3</v>
      </c>
      <c r="I10" s="163">
        <v>4.1600000000000005E-3</v>
      </c>
      <c r="J10" s="232">
        <v>4.4100000000000007E-3</v>
      </c>
      <c r="L10" s="274"/>
      <c r="M10" s="274"/>
      <c r="N10" s="273">
        <v>0.10000000000000002</v>
      </c>
      <c r="O10" s="273">
        <v>0.10000000000000002</v>
      </c>
      <c r="P10" s="273">
        <v>0.1</v>
      </c>
      <c r="Q10" s="273">
        <v>0.1</v>
      </c>
      <c r="R10" s="273">
        <v>0.1</v>
      </c>
      <c r="S10" s="273">
        <v>0.1</v>
      </c>
      <c r="T10" s="273">
        <v>0.1</v>
      </c>
    </row>
    <row r="11" spans="1:20">
      <c r="A11" s="248">
        <f>A10+1</f>
        <v>2</v>
      </c>
      <c r="B11" s="268">
        <v>1.98E-3</v>
      </c>
      <c r="C11" s="263"/>
      <c r="D11" s="161">
        <v>5.7300000000000007E-3</v>
      </c>
      <c r="E11" s="161">
        <v>6.4800000000000014E-3</v>
      </c>
      <c r="F11" s="210">
        <v>7.2300000000000021E-3</v>
      </c>
      <c r="G11" s="210">
        <v>7.980000000000001E-3</v>
      </c>
      <c r="H11" s="210">
        <v>8.7300000000000016E-3</v>
      </c>
      <c r="I11" s="210">
        <v>9.4800000000000006E-3</v>
      </c>
      <c r="J11" s="227">
        <v>1.0230000000000001E-2</v>
      </c>
      <c r="L11" s="274"/>
      <c r="M11" s="274"/>
      <c r="N11" s="273">
        <v>0.30000000000000004</v>
      </c>
      <c r="O11" s="273">
        <v>0.30000000000000004</v>
      </c>
      <c r="P11" s="273">
        <v>0.3</v>
      </c>
      <c r="Q11" s="273">
        <v>0.3</v>
      </c>
      <c r="R11" s="273">
        <v>0.3</v>
      </c>
      <c r="S11" s="273">
        <v>0.3</v>
      </c>
      <c r="T11" s="273">
        <v>0.3</v>
      </c>
    </row>
    <row r="12" spans="1:20">
      <c r="A12" s="248">
        <f t="shared" ref="A12:A29" si="0">A11+1</f>
        <v>3</v>
      </c>
      <c r="B12" s="268">
        <v>2.5400000000000002E-3</v>
      </c>
      <c r="C12" s="263"/>
      <c r="D12" s="161">
        <v>1.0664999999999999E-2</v>
      </c>
      <c r="E12" s="161">
        <v>1.2290000000000001E-2</v>
      </c>
      <c r="F12" s="210">
        <v>1.3915000000000002E-2</v>
      </c>
      <c r="G12" s="210">
        <v>1.554E-2</v>
      </c>
      <c r="H12" s="210">
        <v>1.7165E-2</v>
      </c>
      <c r="I12" s="210">
        <v>1.8790000000000001E-2</v>
      </c>
      <c r="J12" s="227">
        <v>2.0415000000000003E-2</v>
      </c>
      <c r="L12" s="274"/>
      <c r="M12" s="274"/>
      <c r="N12" s="273">
        <v>0.65</v>
      </c>
      <c r="O12" s="273">
        <v>0.65</v>
      </c>
      <c r="P12" s="273">
        <v>0.65</v>
      </c>
      <c r="Q12" s="273">
        <v>0.65</v>
      </c>
      <c r="R12" s="273">
        <v>0.65</v>
      </c>
      <c r="S12" s="273">
        <v>0.65</v>
      </c>
      <c r="T12" s="273">
        <v>0.65</v>
      </c>
    </row>
    <row r="13" spans="1:20">
      <c r="A13" s="248">
        <f t="shared" si="0"/>
        <v>4</v>
      </c>
      <c r="B13" s="268">
        <v>1.2632696745717318E-2</v>
      </c>
      <c r="C13" s="263"/>
      <c r="D13" s="161">
        <v>2.5132696745717317E-2</v>
      </c>
      <c r="E13" s="161">
        <v>2.7632696745717319E-2</v>
      </c>
      <c r="F13" s="210">
        <v>3.0132696745717322E-2</v>
      </c>
      <c r="G13" s="210">
        <v>3.2632696745717324E-2</v>
      </c>
      <c r="H13" s="210">
        <v>3.5132696745717319E-2</v>
      </c>
      <c r="I13" s="210">
        <v>3.7632696745717321E-2</v>
      </c>
      <c r="J13" s="227">
        <v>4.0132696745717317E-2</v>
      </c>
      <c r="L13" s="274"/>
      <c r="M13" s="274"/>
      <c r="N13" s="273">
        <v>1</v>
      </c>
      <c r="O13" s="273">
        <v>1</v>
      </c>
      <c r="P13" s="273">
        <v>1</v>
      </c>
      <c r="Q13" s="273">
        <v>1</v>
      </c>
      <c r="R13" s="273">
        <v>1</v>
      </c>
      <c r="S13" s="273">
        <v>1</v>
      </c>
      <c r="T13" s="273">
        <v>1</v>
      </c>
    </row>
    <row r="14" spans="1:20">
      <c r="A14" s="248">
        <f t="shared" si="0"/>
        <v>5</v>
      </c>
      <c r="B14" s="268">
        <v>4.2664201616473746E-2</v>
      </c>
      <c r="C14" s="263"/>
      <c r="D14" s="161">
        <v>4.6602351180991985E-2</v>
      </c>
      <c r="E14" s="161">
        <v>4.7460582512948005E-2</v>
      </c>
      <c r="F14" s="210">
        <v>4.8340738979571418E-2</v>
      </c>
      <c r="G14" s="210">
        <v>4.934250359781793E-2</v>
      </c>
      <c r="H14" s="210">
        <v>5.1451482624550682E-2</v>
      </c>
      <c r="I14" s="210">
        <v>5.3569794146783048E-2</v>
      </c>
      <c r="J14" s="227">
        <v>5.5697127492207552E-2</v>
      </c>
      <c r="L14" s="274"/>
      <c r="M14" s="274"/>
      <c r="N14" s="273">
        <v>1</v>
      </c>
      <c r="O14" s="273">
        <v>1</v>
      </c>
      <c r="P14" s="273">
        <v>1</v>
      </c>
      <c r="Q14" s="273">
        <v>1</v>
      </c>
      <c r="R14" s="273">
        <v>1</v>
      </c>
      <c r="S14" s="273">
        <v>1</v>
      </c>
      <c r="T14" s="273">
        <v>1</v>
      </c>
    </row>
    <row r="15" spans="1:20">
      <c r="A15" s="248">
        <f t="shared" si="0"/>
        <v>6</v>
      </c>
      <c r="B15" s="268">
        <v>4.2664201616473746E-2</v>
      </c>
      <c r="C15" s="263"/>
      <c r="D15" s="161">
        <v>4.6602351180991985E-2</v>
      </c>
      <c r="E15" s="161">
        <v>4.7460582512948005E-2</v>
      </c>
      <c r="F15" s="210">
        <v>4.8340738979571418E-2</v>
      </c>
      <c r="G15" s="210">
        <v>4.934250359781793E-2</v>
      </c>
      <c r="H15" s="210">
        <v>5.1451482624550682E-2</v>
      </c>
      <c r="I15" s="210">
        <v>5.3569794146783048E-2</v>
      </c>
      <c r="J15" s="227">
        <v>5.5697127492207552E-2</v>
      </c>
      <c r="L15" s="274"/>
      <c r="M15" s="274"/>
      <c r="N15" s="273">
        <v>1</v>
      </c>
      <c r="O15" s="273">
        <v>1</v>
      </c>
      <c r="P15" s="273">
        <v>1</v>
      </c>
      <c r="Q15" s="273">
        <v>1</v>
      </c>
      <c r="R15" s="273">
        <v>1</v>
      </c>
      <c r="S15" s="273">
        <v>1</v>
      </c>
      <c r="T15" s="273">
        <v>1</v>
      </c>
    </row>
    <row r="16" spans="1:20">
      <c r="A16" s="248">
        <f t="shared" si="0"/>
        <v>7</v>
      </c>
      <c r="B16" s="268">
        <v>4.2664201616473746E-2</v>
      </c>
      <c r="C16" s="263"/>
      <c r="D16" s="161">
        <v>4.6602351180991985E-2</v>
      </c>
      <c r="E16" s="161">
        <v>4.7460582512948005E-2</v>
      </c>
      <c r="F16" s="210">
        <v>4.8340738979571418E-2</v>
      </c>
      <c r="G16" s="210">
        <v>4.934250359781793E-2</v>
      </c>
      <c r="H16" s="210">
        <v>5.1451482624550682E-2</v>
      </c>
      <c r="I16" s="210">
        <v>5.3569794146783048E-2</v>
      </c>
      <c r="J16" s="227">
        <v>5.5697127492207552E-2</v>
      </c>
      <c r="L16" s="274"/>
      <c r="M16" s="274"/>
      <c r="N16" s="273">
        <v>1</v>
      </c>
      <c r="O16" s="273">
        <v>1</v>
      </c>
      <c r="P16" s="273">
        <v>1</v>
      </c>
      <c r="Q16" s="273">
        <v>1</v>
      </c>
      <c r="R16" s="273">
        <v>1</v>
      </c>
      <c r="S16" s="273">
        <v>1</v>
      </c>
      <c r="T16" s="273">
        <v>1</v>
      </c>
    </row>
    <row r="17" spans="1:20">
      <c r="A17" s="248">
        <f t="shared" si="0"/>
        <v>8</v>
      </c>
      <c r="B17" s="268">
        <v>4.2664201616473746E-2</v>
      </c>
      <c r="C17" s="263"/>
      <c r="D17" s="161">
        <v>4.6602351180991985E-2</v>
      </c>
      <c r="E17" s="161">
        <v>4.7460582512948005E-2</v>
      </c>
      <c r="F17" s="210">
        <v>4.8340738979571418E-2</v>
      </c>
      <c r="G17" s="210">
        <v>4.934250359781793E-2</v>
      </c>
      <c r="H17" s="210">
        <v>5.1451482624550682E-2</v>
      </c>
      <c r="I17" s="210">
        <v>5.3569794146783048E-2</v>
      </c>
      <c r="J17" s="227">
        <v>5.5697127492207552E-2</v>
      </c>
      <c r="L17" s="274"/>
      <c r="M17" s="274"/>
      <c r="N17" s="273">
        <v>1</v>
      </c>
      <c r="O17" s="273">
        <v>1</v>
      </c>
      <c r="P17" s="273">
        <v>1</v>
      </c>
      <c r="Q17" s="273">
        <v>1</v>
      </c>
      <c r="R17" s="273">
        <v>1</v>
      </c>
      <c r="S17" s="273">
        <v>1</v>
      </c>
      <c r="T17" s="273">
        <v>1</v>
      </c>
    </row>
    <row r="18" spans="1:20">
      <c r="A18" s="248">
        <f t="shared" si="0"/>
        <v>9</v>
      </c>
      <c r="B18" s="268">
        <v>4.1800251533740153E-2</v>
      </c>
      <c r="C18" s="263"/>
      <c r="D18" s="161">
        <v>4.56586535695769E-2</v>
      </c>
      <c r="E18" s="161">
        <v>4.649950571706081E-2</v>
      </c>
      <c r="F18" s="210">
        <v>4.7361839015235094E-2</v>
      </c>
      <c r="G18" s="210">
        <v>4.8343317899962122E-2</v>
      </c>
      <c r="H18" s="210">
        <v>5.0409590101403536E-2</v>
      </c>
      <c r="I18" s="210">
        <v>5.2485005815310688E-2</v>
      </c>
      <c r="J18" s="227">
        <v>5.4569260660490351E-2</v>
      </c>
      <c r="L18" s="274"/>
      <c r="M18" s="274"/>
      <c r="N18" s="273">
        <v>0.97975000000000001</v>
      </c>
      <c r="O18" s="273">
        <v>0.97975000000000001</v>
      </c>
      <c r="P18" s="273">
        <v>0.97975000000000001</v>
      </c>
      <c r="Q18" s="273">
        <v>0.97975000000000001</v>
      </c>
      <c r="R18" s="273">
        <v>0.97975000000000001</v>
      </c>
      <c r="S18" s="273">
        <v>0.97975000000000001</v>
      </c>
      <c r="T18" s="273">
        <v>0.97975000000000001</v>
      </c>
    </row>
    <row r="19" spans="1:20">
      <c r="A19" s="248">
        <f t="shared" si="0"/>
        <v>10</v>
      </c>
      <c r="B19" s="268">
        <v>3.9016412378265239E-2</v>
      </c>
      <c r="C19" s="263"/>
      <c r="D19" s="161">
        <v>4.2617850155017165E-2</v>
      </c>
      <c r="E19" s="161">
        <v>4.3402702708090948E-2</v>
      </c>
      <c r="F19" s="210">
        <v>4.4207605796818053E-2</v>
      </c>
      <c r="G19" s="210">
        <v>4.5123719540204492E-2</v>
      </c>
      <c r="H19" s="210">
        <v>4.7052380860151594E-2</v>
      </c>
      <c r="I19" s="210">
        <v>4.8989576747233088E-2</v>
      </c>
      <c r="J19" s="227">
        <v>5.0935023091623802E-2</v>
      </c>
      <c r="L19" s="274"/>
      <c r="M19" s="274"/>
      <c r="N19" s="273">
        <v>0.91449999999999998</v>
      </c>
      <c r="O19" s="273">
        <v>0.91449999999999998</v>
      </c>
      <c r="P19" s="273">
        <v>0.91449999999999998</v>
      </c>
      <c r="Q19" s="273">
        <v>0.91449999999999998</v>
      </c>
      <c r="R19" s="273">
        <v>0.91449999999999998</v>
      </c>
      <c r="S19" s="273">
        <v>0.91449999999999998</v>
      </c>
      <c r="T19" s="273">
        <v>0.91449999999999998</v>
      </c>
    </row>
    <row r="20" spans="1:20">
      <c r="A20" s="248">
        <f t="shared" si="0"/>
        <v>11</v>
      </c>
      <c r="B20" s="268">
        <v>3.2824770118674483E-2</v>
      </c>
      <c r="C20" s="263"/>
      <c r="D20" s="161">
        <v>3.5854683939875703E-2</v>
      </c>
      <c r="E20" s="161">
        <v>3.6514985670899364E-2</v>
      </c>
      <c r="F20" s="210">
        <v>3.7192156052407749E-2</v>
      </c>
      <c r="G20" s="210">
        <v>3.7962888705571164E-2</v>
      </c>
      <c r="H20" s="210">
        <v>3.9585484444263679E-2</v>
      </c>
      <c r="I20" s="210">
        <v>4.1215260371681196E-2</v>
      </c>
      <c r="J20" s="227">
        <v>4.2851977464317174E-2</v>
      </c>
      <c r="L20" s="274"/>
      <c r="M20" s="274"/>
      <c r="N20" s="273">
        <v>0.76937499999999992</v>
      </c>
      <c r="O20" s="273">
        <v>0.76937499999999992</v>
      </c>
      <c r="P20" s="273">
        <v>0.76937500000000003</v>
      </c>
      <c r="Q20" s="273">
        <v>0.76937500000000003</v>
      </c>
      <c r="R20" s="273">
        <v>0.76937500000000003</v>
      </c>
      <c r="S20" s="273">
        <v>0.76937500000000003</v>
      </c>
      <c r="T20" s="273">
        <v>0.76937500000000003</v>
      </c>
    </row>
    <row r="21" spans="1:20">
      <c r="A21" s="248">
        <f t="shared" si="0"/>
        <v>12</v>
      </c>
      <c r="B21" s="268">
        <v>2.3129330301330825E-2</v>
      </c>
      <c r="C21" s="263"/>
      <c r="D21" s="161">
        <v>2.5264299633995277E-2</v>
      </c>
      <c r="E21" s="161">
        <v>2.5729568294831931E-2</v>
      </c>
      <c r="F21" s="210">
        <v>2.6206723119300154E-2</v>
      </c>
      <c r="G21" s="210">
        <v>2.6749804762967039E-2</v>
      </c>
      <c r="H21" s="210">
        <v>2.7893135017834539E-2</v>
      </c>
      <c r="I21" s="210">
        <v>2.9041524651824753E-2</v>
      </c>
      <c r="J21" s="227">
        <v>3.0194805241713016E-2</v>
      </c>
      <c r="L21" s="274"/>
      <c r="M21" s="274"/>
      <c r="N21" s="273">
        <v>0.54212499999999997</v>
      </c>
      <c r="O21" s="273">
        <v>0.54212499999999997</v>
      </c>
      <c r="P21" s="273">
        <v>0.54212499999999997</v>
      </c>
      <c r="Q21" s="273">
        <v>0.54212499999999997</v>
      </c>
      <c r="R21" s="273">
        <v>0.54212499999999997</v>
      </c>
      <c r="S21" s="273">
        <v>0.54212499999999997</v>
      </c>
      <c r="T21" s="273">
        <v>0.54212499999999997</v>
      </c>
    </row>
    <row r="22" spans="1:20">
      <c r="A22" s="248">
        <f t="shared" si="0"/>
        <v>13</v>
      </c>
      <c r="B22" s="268">
        <v>1.4009857205809564E-2</v>
      </c>
      <c r="C22" s="263"/>
      <c r="D22" s="161">
        <v>1.530304706905824E-2</v>
      </c>
      <c r="E22" s="161">
        <v>1.5584868782689299E-2</v>
      </c>
      <c r="F22" s="210">
        <v>1.5873890162416759E-2</v>
      </c>
      <c r="G22" s="210">
        <v>1.6202844618933458E-2</v>
      </c>
      <c r="H22" s="210">
        <v>1.6895380606836829E-2</v>
      </c>
      <c r="I22" s="210">
        <v>1.7590981152949881E-2</v>
      </c>
      <c r="J22" s="227">
        <v>1.8289544240253652E-2</v>
      </c>
      <c r="L22" s="274"/>
      <c r="M22" s="274"/>
      <c r="N22" s="273">
        <v>0.32837499999999997</v>
      </c>
      <c r="O22" s="273">
        <v>0.32837499999999997</v>
      </c>
      <c r="P22" s="273">
        <v>0.32837499999999997</v>
      </c>
      <c r="Q22" s="273">
        <v>0.32837499999999997</v>
      </c>
      <c r="R22" s="273">
        <v>0.32837499999999997</v>
      </c>
      <c r="S22" s="273">
        <v>0.32837499999999997</v>
      </c>
      <c r="T22" s="273">
        <v>0.32837499999999997</v>
      </c>
    </row>
    <row r="23" spans="1:20">
      <c r="A23" s="248">
        <f t="shared" si="0"/>
        <v>14</v>
      </c>
      <c r="B23" s="268">
        <v>7.2902454512149481E-3</v>
      </c>
      <c r="C23" s="263"/>
      <c r="D23" s="161">
        <v>7.963176758052002E-3</v>
      </c>
      <c r="E23" s="161">
        <v>8.1098270368999865E-3</v>
      </c>
      <c r="F23" s="210">
        <v>8.260223773134262E-3</v>
      </c>
      <c r="G23" s="210">
        <v>8.431400302277136E-3</v>
      </c>
      <c r="H23" s="210">
        <v>8.7917720934700943E-3</v>
      </c>
      <c r="I23" s="210">
        <v>9.1537385748315485E-3</v>
      </c>
      <c r="J23" s="227">
        <v>9.517246660230962E-3</v>
      </c>
      <c r="L23" s="274"/>
      <c r="M23" s="274"/>
      <c r="N23" s="273">
        <v>0.17087499999999994</v>
      </c>
      <c r="O23" s="273">
        <v>0.17087499999999994</v>
      </c>
      <c r="P23" s="273">
        <v>0.170875</v>
      </c>
      <c r="Q23" s="273">
        <v>0.170875</v>
      </c>
      <c r="R23" s="273">
        <v>0.170875</v>
      </c>
      <c r="S23" s="273">
        <v>0.170875</v>
      </c>
      <c r="T23" s="273">
        <v>0.170875</v>
      </c>
    </row>
    <row r="24" spans="1:20">
      <c r="A24" s="248">
        <f t="shared" si="0"/>
        <v>15</v>
      </c>
      <c r="B24" s="268">
        <v>5.8321963609719585E-3</v>
      </c>
      <c r="C24" s="263"/>
      <c r="D24" s="161">
        <v>6.3705414064416021E-3</v>
      </c>
      <c r="E24" s="161">
        <v>6.4878616295199892E-3</v>
      </c>
      <c r="F24" s="210">
        <v>6.6081790185074096E-3</v>
      </c>
      <c r="G24" s="210">
        <v>6.7451202418217088E-3</v>
      </c>
      <c r="H24" s="210">
        <v>7.0334176747760754E-3</v>
      </c>
      <c r="I24" s="210">
        <v>7.3229908598652395E-3</v>
      </c>
      <c r="J24" s="227">
        <v>7.6137973281847696E-3</v>
      </c>
      <c r="L24" s="274"/>
      <c r="M24" s="274"/>
      <c r="N24" s="273">
        <v>0.13669999999999996</v>
      </c>
      <c r="O24" s="273">
        <v>0.13669999999999996</v>
      </c>
      <c r="P24" s="273">
        <v>0.13669999999999999</v>
      </c>
      <c r="Q24" s="273">
        <v>0.13669999999999999</v>
      </c>
      <c r="R24" s="273">
        <v>0.13669999999999999</v>
      </c>
      <c r="S24" s="273">
        <v>0.13669999999999999</v>
      </c>
      <c r="T24" s="273">
        <v>0.13669999999999999</v>
      </c>
    </row>
    <row r="25" spans="1:20">
      <c r="A25" s="248">
        <f t="shared" si="0"/>
        <v>16</v>
      </c>
      <c r="B25" s="268">
        <v>4.6657570887775673E-3</v>
      </c>
      <c r="C25" s="263"/>
      <c r="D25" s="161">
        <v>5.0964331251532819E-3</v>
      </c>
      <c r="E25" s="161">
        <v>5.1902893036159916E-3</v>
      </c>
      <c r="F25" s="210">
        <v>5.2865432148059277E-3</v>
      </c>
      <c r="G25" s="210">
        <v>5.3960961934573677E-3</v>
      </c>
      <c r="H25" s="210">
        <v>5.626734139820861E-3</v>
      </c>
      <c r="I25" s="210">
        <v>5.8583926878921916E-3</v>
      </c>
      <c r="J25" s="227">
        <v>6.0910378625478158E-3</v>
      </c>
      <c r="L25" s="274"/>
      <c r="M25" s="274"/>
      <c r="N25" s="273">
        <v>0.10935999999999997</v>
      </c>
      <c r="O25" s="273">
        <v>0.10935999999999997</v>
      </c>
      <c r="P25" s="273">
        <v>0.10936</v>
      </c>
      <c r="Q25" s="273">
        <v>0.10936</v>
      </c>
      <c r="R25" s="273">
        <v>0.10936</v>
      </c>
      <c r="S25" s="273">
        <v>0.10936</v>
      </c>
      <c r="T25" s="273">
        <v>0.10936</v>
      </c>
    </row>
    <row r="26" spans="1:20">
      <c r="A26" s="248">
        <f t="shared" si="0"/>
        <v>17</v>
      </c>
      <c r="B26" s="268">
        <v>3.7326056710220538E-3</v>
      </c>
      <c r="C26" s="263"/>
      <c r="D26" s="161">
        <v>4.0771465001226258E-3</v>
      </c>
      <c r="E26" s="161">
        <v>4.1522314428927938E-3</v>
      </c>
      <c r="F26" s="210">
        <v>4.2292345718447427E-3</v>
      </c>
      <c r="G26" s="210">
        <v>4.3168769547658947E-3</v>
      </c>
      <c r="H26" s="210">
        <v>4.5013873118566888E-3</v>
      </c>
      <c r="I26" s="210">
        <v>4.6867141503137534E-3</v>
      </c>
      <c r="J26" s="227">
        <v>4.8728302900382528E-3</v>
      </c>
      <c r="L26" s="274"/>
      <c r="M26" s="274"/>
      <c r="N26" s="273">
        <v>8.7487999999999982E-2</v>
      </c>
      <c r="O26" s="273">
        <v>8.7487999999999982E-2</v>
      </c>
      <c r="P26" s="273">
        <v>8.7487999999999996E-2</v>
      </c>
      <c r="Q26" s="273">
        <v>8.7487999999999996E-2</v>
      </c>
      <c r="R26" s="273">
        <v>8.7487999999999996E-2</v>
      </c>
      <c r="S26" s="273">
        <v>8.7487999999999996E-2</v>
      </c>
      <c r="T26" s="273">
        <v>8.7487999999999996E-2</v>
      </c>
    </row>
    <row r="27" spans="1:20">
      <c r="A27" s="248">
        <f t="shared" si="0"/>
        <v>18</v>
      </c>
      <c r="B27" s="268">
        <v>2.9860845368176432E-3</v>
      </c>
      <c r="C27" s="263"/>
      <c r="D27" s="161">
        <v>3.2617172000981008E-3</v>
      </c>
      <c r="E27" s="161">
        <v>3.3217851543142353E-3</v>
      </c>
      <c r="F27" s="210">
        <v>3.3833876574757941E-3</v>
      </c>
      <c r="G27" s="210">
        <v>3.453501563812716E-3</v>
      </c>
      <c r="H27" s="210">
        <v>3.6011098494853513E-3</v>
      </c>
      <c r="I27" s="210">
        <v>3.7493713202510028E-3</v>
      </c>
      <c r="J27" s="227">
        <v>3.8982642320306024E-3</v>
      </c>
      <c r="L27" s="274"/>
      <c r="M27" s="274"/>
      <c r="N27" s="273">
        <v>6.9990399999999994E-2</v>
      </c>
      <c r="O27" s="273">
        <v>6.9990399999999994E-2</v>
      </c>
      <c r="P27" s="273">
        <v>6.9990399999999994E-2</v>
      </c>
      <c r="Q27" s="273">
        <v>6.9990399999999994E-2</v>
      </c>
      <c r="R27" s="273">
        <v>6.9990399999999994E-2</v>
      </c>
      <c r="S27" s="273">
        <v>6.9990399999999994E-2</v>
      </c>
      <c r="T27" s="273">
        <v>6.9990399999999994E-2</v>
      </c>
    </row>
    <row r="28" spans="1:20">
      <c r="A28" s="248">
        <f t="shared" si="0"/>
        <v>19</v>
      </c>
      <c r="B28" s="268">
        <v>2.3888676294541149E-3</v>
      </c>
      <c r="C28" s="263"/>
      <c r="D28" s="161">
        <v>2.609373760078481E-3</v>
      </c>
      <c r="E28" s="161">
        <v>2.6574281234513883E-3</v>
      </c>
      <c r="F28" s="210">
        <v>2.7067101259806354E-3</v>
      </c>
      <c r="G28" s="210">
        <v>2.7628012510501729E-3</v>
      </c>
      <c r="H28" s="210">
        <v>2.8808878795882811E-3</v>
      </c>
      <c r="I28" s="210">
        <v>2.9994970562008025E-3</v>
      </c>
      <c r="J28" s="227">
        <v>3.1186113856244823E-3</v>
      </c>
      <c r="L28" s="274"/>
      <c r="M28" s="274"/>
      <c r="N28" s="273">
        <v>5.5992319999999998E-2</v>
      </c>
      <c r="O28" s="273">
        <v>5.5992319999999998E-2</v>
      </c>
      <c r="P28" s="273">
        <v>5.5992319999999998E-2</v>
      </c>
      <c r="Q28" s="273">
        <v>5.5992319999999998E-2</v>
      </c>
      <c r="R28" s="273">
        <v>5.5992319999999998E-2</v>
      </c>
      <c r="S28" s="273">
        <v>5.5992319999999998E-2</v>
      </c>
      <c r="T28" s="273">
        <v>5.5992319999999998E-2</v>
      </c>
    </row>
    <row r="29" spans="1:20">
      <c r="A29" s="246">
        <f t="shared" si="0"/>
        <v>20</v>
      </c>
      <c r="B29" s="266">
        <v>1.911094103563292E-3</v>
      </c>
      <c r="C29" s="264"/>
      <c r="D29" s="225">
        <v>2.0874990080627849E-3</v>
      </c>
      <c r="E29" s="225">
        <v>2.1259424987611106E-3</v>
      </c>
      <c r="F29" s="233">
        <v>2.1653681007845083E-3</v>
      </c>
      <c r="G29" s="233">
        <v>2.2102410008401382E-3</v>
      </c>
      <c r="H29" s="233">
        <v>2.3047103036706248E-3</v>
      </c>
      <c r="I29" s="233">
        <v>2.399597644960642E-3</v>
      </c>
      <c r="J29" s="234">
        <v>2.4948891084995862E-3</v>
      </c>
      <c r="L29" s="274"/>
      <c r="M29" s="274"/>
      <c r="N29" s="273">
        <v>4.4793856E-2</v>
      </c>
      <c r="O29" s="273">
        <v>4.4793856E-2</v>
      </c>
      <c r="P29" s="273">
        <v>4.4793856E-2</v>
      </c>
      <c r="Q29" s="273">
        <v>4.4793856E-2</v>
      </c>
      <c r="R29" s="273">
        <v>4.4793856E-2</v>
      </c>
      <c r="S29" s="273">
        <v>4.4793856E-2</v>
      </c>
      <c r="T29" s="273">
        <v>4.4793856E-2</v>
      </c>
    </row>
    <row r="32" spans="1:20" ht="15">
      <c r="A32" s="245" t="s">
        <v>98</v>
      </c>
      <c r="B32" s="278">
        <v>2E-3</v>
      </c>
      <c r="C32" s="279"/>
      <c r="D32" s="279"/>
      <c r="E32" s="279"/>
      <c r="F32" s="279"/>
      <c r="G32" s="279"/>
      <c r="H32" s="279"/>
      <c r="I32" s="279"/>
      <c r="J32" s="280"/>
      <c r="L32" s="278">
        <v>2E-3</v>
      </c>
      <c r="M32" s="279"/>
      <c r="N32" s="279"/>
      <c r="O32" s="279"/>
      <c r="P32" s="279"/>
      <c r="Q32" s="279"/>
      <c r="R32" s="279"/>
      <c r="S32" s="279"/>
      <c r="T32" s="280"/>
    </row>
    <row r="33" spans="1:22" ht="15">
      <c r="A33" s="246" t="s">
        <v>99</v>
      </c>
      <c r="B33" s="256">
        <v>0</v>
      </c>
      <c r="C33" s="259"/>
      <c r="D33" s="251">
        <v>1.2500000000000001E-2</v>
      </c>
      <c r="E33" s="251">
        <v>1.4999999999999999E-2</v>
      </c>
      <c r="F33" s="251">
        <v>1.7500000000000002E-2</v>
      </c>
      <c r="G33" s="251">
        <v>0.02</v>
      </c>
      <c r="H33" s="251">
        <v>2.2499999999999999E-2</v>
      </c>
      <c r="I33" s="251">
        <v>2.5000000000000001E-2</v>
      </c>
      <c r="J33" s="255">
        <v>2.75E-2</v>
      </c>
      <c r="L33" s="256">
        <v>0</v>
      </c>
      <c r="M33" s="259"/>
      <c r="N33" s="257">
        <v>1.2500000000000001E-2</v>
      </c>
      <c r="O33" s="257">
        <v>1.4999999999999999E-2</v>
      </c>
      <c r="P33" s="257">
        <v>1.7500000000000002E-2</v>
      </c>
      <c r="Q33" s="257">
        <v>0.02</v>
      </c>
      <c r="R33" s="257">
        <v>2.2499999999999999E-2</v>
      </c>
      <c r="S33" s="257">
        <v>2.5000000000000001E-2</v>
      </c>
      <c r="T33" s="258">
        <v>2.75E-2</v>
      </c>
    </row>
    <row r="34" spans="1:22">
      <c r="A34" s="247">
        <v>1</v>
      </c>
      <c r="B34" s="269">
        <v>3.6600000000000001E-3</v>
      </c>
      <c r="C34" s="262"/>
      <c r="D34" s="223">
        <v>4.9100000000000003E-3</v>
      </c>
      <c r="E34" s="223">
        <v>5.1599999999999997E-3</v>
      </c>
      <c r="F34" s="163">
        <v>5.4099999999999999E-3</v>
      </c>
      <c r="G34" s="163">
        <v>5.6600000000000001E-3</v>
      </c>
      <c r="H34" s="163">
        <v>5.9100000000000003E-3</v>
      </c>
      <c r="I34" s="163">
        <v>6.1600000000000005E-3</v>
      </c>
      <c r="J34" s="232">
        <v>6.4100000000000008E-3</v>
      </c>
      <c r="L34" s="273">
        <v>1</v>
      </c>
      <c r="M34" s="274"/>
      <c r="N34" s="273">
        <v>0.22413793103448276</v>
      </c>
      <c r="O34" s="273">
        <v>0.20588235294117646</v>
      </c>
      <c r="P34" s="273">
        <v>0.19230769230769229</v>
      </c>
      <c r="Q34" s="273">
        <v>0.18181818181818182</v>
      </c>
      <c r="R34" s="273">
        <v>0.17346938775510204</v>
      </c>
      <c r="S34" s="273">
        <v>0.16666666666666666</v>
      </c>
      <c r="T34" s="273">
        <v>0.16101694915254242</v>
      </c>
      <c r="U34" s="2"/>
      <c r="V34" s="2"/>
    </row>
    <row r="35" spans="1:22">
      <c r="A35" s="248">
        <f>A34+1</f>
        <v>2</v>
      </c>
      <c r="B35" s="253">
        <v>3.98E-3</v>
      </c>
      <c r="C35" s="263"/>
      <c r="D35" s="161">
        <v>7.7300000000000008E-3</v>
      </c>
      <c r="E35" s="161">
        <v>8.4800000000000014E-3</v>
      </c>
      <c r="F35" s="210">
        <v>9.2300000000000021E-3</v>
      </c>
      <c r="G35" s="210">
        <v>9.980000000000001E-3</v>
      </c>
      <c r="H35" s="210">
        <v>1.0730000000000002E-2</v>
      </c>
      <c r="I35" s="210">
        <v>1.1480000000000001E-2</v>
      </c>
      <c r="J35" s="227">
        <v>1.2230000000000001E-2</v>
      </c>
      <c r="L35" s="273">
        <v>1</v>
      </c>
      <c r="M35" s="274"/>
      <c r="N35" s="273">
        <v>0.39655172413793105</v>
      </c>
      <c r="O35" s="273">
        <v>0.38235294117647062</v>
      </c>
      <c r="P35" s="273">
        <v>0.37179487179487181</v>
      </c>
      <c r="Q35" s="273">
        <v>0.36363636363636365</v>
      </c>
      <c r="R35" s="273">
        <v>0.35714285714285715</v>
      </c>
      <c r="S35" s="273">
        <v>0.35185185185185186</v>
      </c>
      <c r="T35" s="273">
        <v>0.34745762711864414</v>
      </c>
      <c r="U35" s="2"/>
    </row>
    <row r="36" spans="1:22">
      <c r="A36" s="248">
        <f t="shared" ref="A36:A53" si="1">A35+1</f>
        <v>3</v>
      </c>
      <c r="B36" s="253">
        <v>4.5400000000000006E-3</v>
      </c>
      <c r="C36" s="263"/>
      <c r="D36" s="161">
        <v>1.2664999999999999E-2</v>
      </c>
      <c r="E36" s="161">
        <v>1.4290000000000001E-2</v>
      </c>
      <c r="F36" s="210">
        <v>1.5915000000000002E-2</v>
      </c>
      <c r="G36" s="210">
        <v>1.754E-2</v>
      </c>
      <c r="H36" s="210">
        <v>1.9164999999999998E-2</v>
      </c>
      <c r="I36" s="210">
        <v>2.0789999999999999E-2</v>
      </c>
      <c r="J36" s="227">
        <v>2.2415000000000001E-2</v>
      </c>
      <c r="L36" s="273">
        <v>1</v>
      </c>
      <c r="M36" s="274"/>
      <c r="N36" s="273">
        <v>0.69827586206896552</v>
      </c>
      <c r="O36" s="273">
        <v>0.69117647058823528</v>
      </c>
      <c r="P36" s="273">
        <v>0.6858974358974359</v>
      </c>
      <c r="Q36" s="273">
        <v>0.68181818181818188</v>
      </c>
      <c r="R36" s="273">
        <v>0.6785714285714286</v>
      </c>
      <c r="S36" s="273">
        <v>0.67592592592592593</v>
      </c>
      <c r="T36" s="273">
        <v>0.67372881355932224</v>
      </c>
      <c r="U36" s="2"/>
    </row>
    <row r="37" spans="1:22">
      <c r="A37" s="248">
        <f t="shared" si="1"/>
        <v>4</v>
      </c>
      <c r="B37" s="253">
        <v>1.3095191047382961E-2</v>
      </c>
      <c r="C37" s="263"/>
      <c r="D37" s="161">
        <v>2.5595191047382962E-2</v>
      </c>
      <c r="E37" s="161">
        <v>2.8095191047382961E-2</v>
      </c>
      <c r="F37" s="210">
        <v>3.0595191047382963E-2</v>
      </c>
      <c r="G37" s="210">
        <v>3.3095191047382962E-2</v>
      </c>
      <c r="H37" s="210">
        <v>3.5595191047382957E-2</v>
      </c>
      <c r="I37" s="210">
        <v>3.8095191047382959E-2</v>
      </c>
      <c r="J37" s="227">
        <v>4.0595191047382961E-2</v>
      </c>
      <c r="L37" s="273">
        <v>1</v>
      </c>
      <c r="M37" s="274"/>
      <c r="N37" s="273">
        <v>1</v>
      </c>
      <c r="O37" s="273">
        <v>1</v>
      </c>
      <c r="P37" s="273">
        <v>1</v>
      </c>
      <c r="Q37" s="273">
        <v>1</v>
      </c>
      <c r="R37" s="273">
        <v>1</v>
      </c>
      <c r="S37" s="273">
        <v>1</v>
      </c>
      <c r="T37" s="273">
        <v>1</v>
      </c>
      <c r="U37" s="2"/>
    </row>
    <row r="38" spans="1:22">
      <c r="A38" s="248">
        <f t="shared" si="1"/>
        <v>5</v>
      </c>
      <c r="B38" s="253">
        <v>4.3126695918139391E-2</v>
      </c>
      <c r="C38" s="263"/>
      <c r="D38" s="161">
        <v>4.706484548265763E-2</v>
      </c>
      <c r="E38" s="161">
        <v>4.7923076814613649E-2</v>
      </c>
      <c r="F38" s="210">
        <v>4.8803233281237063E-2</v>
      </c>
      <c r="G38" s="210">
        <v>4.9804997899483575E-2</v>
      </c>
      <c r="H38" s="210">
        <v>5.1913976926216326E-2</v>
      </c>
      <c r="I38" s="210">
        <v>5.4032288448448693E-2</v>
      </c>
      <c r="J38" s="227">
        <v>5.6532288448448695E-2</v>
      </c>
      <c r="L38" s="273">
        <v>1</v>
      </c>
      <c r="M38" s="274"/>
      <c r="N38" s="273">
        <v>1</v>
      </c>
      <c r="O38" s="273">
        <v>1</v>
      </c>
      <c r="P38" s="273">
        <v>1</v>
      </c>
      <c r="Q38" s="273">
        <v>1</v>
      </c>
      <c r="R38" s="273">
        <v>1</v>
      </c>
      <c r="S38" s="273">
        <v>1</v>
      </c>
      <c r="T38" s="273">
        <v>1</v>
      </c>
      <c r="U38" s="2"/>
    </row>
    <row r="39" spans="1:22">
      <c r="A39" s="248">
        <f t="shared" si="1"/>
        <v>6</v>
      </c>
      <c r="B39" s="253">
        <v>4.3126695918139391E-2</v>
      </c>
      <c r="C39" s="263"/>
      <c r="D39" s="161">
        <v>4.706484548265763E-2</v>
      </c>
      <c r="E39" s="161">
        <v>4.7923076814613649E-2</v>
      </c>
      <c r="F39" s="210">
        <v>4.8803233281237063E-2</v>
      </c>
      <c r="G39" s="210">
        <v>4.9804997899483575E-2</v>
      </c>
      <c r="H39" s="210">
        <v>5.1913976926216326E-2</v>
      </c>
      <c r="I39" s="210">
        <v>5.4032288448448693E-2</v>
      </c>
      <c r="J39" s="227">
        <v>5.6532288448448695E-2</v>
      </c>
      <c r="L39" s="273">
        <v>1</v>
      </c>
      <c r="M39" s="274"/>
      <c r="N39" s="273">
        <v>1</v>
      </c>
      <c r="O39" s="273">
        <v>1</v>
      </c>
      <c r="P39" s="273">
        <v>1</v>
      </c>
      <c r="Q39" s="273">
        <v>1</v>
      </c>
      <c r="R39" s="273">
        <v>1</v>
      </c>
      <c r="S39" s="273">
        <v>1</v>
      </c>
      <c r="T39" s="273">
        <v>1</v>
      </c>
      <c r="U39" s="2"/>
    </row>
    <row r="40" spans="1:22">
      <c r="A40" s="248">
        <f t="shared" si="1"/>
        <v>7</v>
      </c>
      <c r="B40" s="253">
        <v>4.3126695918139391E-2</v>
      </c>
      <c r="C40" s="263"/>
      <c r="D40" s="161">
        <v>4.706484548265763E-2</v>
      </c>
      <c r="E40" s="161">
        <v>4.7923076814613649E-2</v>
      </c>
      <c r="F40" s="210">
        <v>4.8803233281237063E-2</v>
      </c>
      <c r="G40" s="210">
        <v>4.9804997899483575E-2</v>
      </c>
      <c r="H40" s="210">
        <v>5.1913976926216326E-2</v>
      </c>
      <c r="I40" s="210">
        <v>5.4032288448448693E-2</v>
      </c>
      <c r="J40" s="227">
        <v>5.6532288448448695E-2</v>
      </c>
      <c r="L40" s="273">
        <v>1</v>
      </c>
      <c r="M40" s="274"/>
      <c r="N40" s="273">
        <v>1</v>
      </c>
      <c r="O40" s="273">
        <v>1</v>
      </c>
      <c r="P40" s="273">
        <v>1</v>
      </c>
      <c r="Q40" s="273">
        <v>1</v>
      </c>
      <c r="R40" s="273">
        <v>1</v>
      </c>
      <c r="S40" s="273">
        <v>1</v>
      </c>
      <c r="T40" s="273">
        <v>1</v>
      </c>
      <c r="U40" s="2"/>
    </row>
    <row r="41" spans="1:22">
      <c r="A41" s="248">
        <f t="shared" si="1"/>
        <v>8</v>
      </c>
      <c r="B41" s="253">
        <v>4.3126695918139391E-2</v>
      </c>
      <c r="C41" s="263"/>
      <c r="D41" s="161">
        <v>4.706484548265763E-2</v>
      </c>
      <c r="E41" s="161">
        <v>4.7923076814613649E-2</v>
      </c>
      <c r="F41" s="210">
        <v>4.8803233281237063E-2</v>
      </c>
      <c r="G41" s="210">
        <v>4.9804997899483575E-2</v>
      </c>
      <c r="H41" s="210">
        <v>5.1913976926216326E-2</v>
      </c>
      <c r="I41" s="210">
        <v>5.4032288448448693E-2</v>
      </c>
      <c r="J41" s="227">
        <v>5.6532288448448695E-2</v>
      </c>
      <c r="L41" s="273">
        <v>1</v>
      </c>
      <c r="M41" s="274"/>
      <c r="N41" s="273">
        <v>1</v>
      </c>
      <c r="O41" s="273">
        <v>1</v>
      </c>
      <c r="P41" s="273">
        <v>1</v>
      </c>
      <c r="Q41" s="273">
        <v>1</v>
      </c>
      <c r="R41" s="273">
        <v>1</v>
      </c>
      <c r="S41" s="273">
        <v>1</v>
      </c>
      <c r="T41" s="273">
        <v>1</v>
      </c>
      <c r="U41" s="2"/>
    </row>
    <row r="42" spans="1:22">
      <c r="A42" s="248">
        <f t="shared" si="1"/>
        <v>9</v>
      </c>
      <c r="B42" s="253">
        <v>4.2253380325797063E-2</v>
      </c>
      <c r="C42" s="263"/>
      <c r="D42" s="161">
        <v>4.611178236163381E-2</v>
      </c>
      <c r="E42" s="161">
        <v>4.695263450911772E-2</v>
      </c>
      <c r="F42" s="210">
        <v>4.7814967807292004E-2</v>
      </c>
      <c r="G42" s="210">
        <v>4.8796446692019033E-2</v>
      </c>
      <c r="H42" s="210">
        <v>5.0862718893460446E-2</v>
      </c>
      <c r="I42" s="210">
        <v>5.2938134607367598E-2</v>
      </c>
      <c r="J42" s="227">
        <v>5.5387509607367602E-2</v>
      </c>
      <c r="L42" s="273">
        <v>0.9797499999999999</v>
      </c>
      <c r="M42" s="274"/>
      <c r="N42" s="273">
        <v>0.97975000000000001</v>
      </c>
      <c r="O42" s="273">
        <v>0.9797499999999999</v>
      </c>
      <c r="P42" s="273">
        <v>0.9797499999999999</v>
      </c>
      <c r="Q42" s="273">
        <v>0.97975000000000012</v>
      </c>
      <c r="R42" s="273">
        <v>0.9797499999999999</v>
      </c>
      <c r="S42" s="273">
        <v>0.9797499999999999</v>
      </c>
      <c r="T42" s="273">
        <v>0.97975000000000012</v>
      </c>
      <c r="U42" s="2"/>
    </row>
    <row r="43" spans="1:22">
      <c r="A43" s="248">
        <f t="shared" si="1"/>
        <v>10</v>
      </c>
      <c r="B43" s="253">
        <v>3.9439363417138468E-2</v>
      </c>
      <c r="C43" s="263"/>
      <c r="D43" s="161">
        <v>4.30408011938904E-2</v>
      </c>
      <c r="E43" s="161">
        <v>4.3825653746964184E-2</v>
      </c>
      <c r="F43" s="210">
        <v>4.4630556835691289E-2</v>
      </c>
      <c r="G43" s="210">
        <v>4.5546670579077728E-2</v>
      </c>
      <c r="H43" s="210">
        <v>4.7475331899024829E-2</v>
      </c>
      <c r="I43" s="210">
        <v>4.9412527786106324E-2</v>
      </c>
      <c r="J43" s="227">
        <v>5.1698777786106327E-2</v>
      </c>
      <c r="L43" s="273">
        <v>0.91449999999999998</v>
      </c>
      <c r="M43" s="274"/>
      <c r="N43" s="273">
        <v>0.91450000000000009</v>
      </c>
      <c r="O43" s="273">
        <v>0.91449999999999976</v>
      </c>
      <c r="P43" s="273">
        <v>0.91449999999999987</v>
      </c>
      <c r="Q43" s="273">
        <v>0.91450000000000009</v>
      </c>
      <c r="R43" s="273">
        <v>0.91449999999999987</v>
      </c>
      <c r="S43" s="273">
        <v>0.91449999999999998</v>
      </c>
      <c r="T43" s="273">
        <v>0.91450000000000009</v>
      </c>
      <c r="U43" s="2"/>
    </row>
    <row r="44" spans="1:22">
      <c r="A44" s="248">
        <f t="shared" si="1"/>
        <v>11</v>
      </c>
      <c r="B44" s="253">
        <v>3.3180601672018487E-2</v>
      </c>
      <c r="C44" s="263"/>
      <c r="D44" s="161">
        <v>3.6210515493219707E-2</v>
      </c>
      <c r="E44" s="161">
        <v>3.6870817224243367E-2</v>
      </c>
      <c r="F44" s="210">
        <v>3.7547987605751759E-2</v>
      </c>
      <c r="G44" s="210">
        <v>3.8318720258915175E-2</v>
      </c>
      <c r="H44" s="210">
        <v>3.9941315997607682E-2</v>
      </c>
      <c r="I44" s="210">
        <v>4.1571091925025207E-2</v>
      </c>
      <c r="J44" s="227">
        <v>4.3494529425025207E-2</v>
      </c>
      <c r="L44" s="273">
        <v>0.76937499999999992</v>
      </c>
      <c r="M44" s="274"/>
      <c r="N44" s="273">
        <v>0.76937499999999992</v>
      </c>
      <c r="O44" s="273">
        <v>0.76937499999999992</v>
      </c>
      <c r="P44" s="273">
        <v>0.76937499999999992</v>
      </c>
      <c r="Q44" s="273">
        <v>0.76937499999999992</v>
      </c>
      <c r="R44" s="273">
        <v>0.76937499999999981</v>
      </c>
      <c r="S44" s="273">
        <v>0.76937499999999981</v>
      </c>
      <c r="T44" s="273">
        <v>0.76937499999999992</v>
      </c>
      <c r="U44" s="2"/>
    </row>
    <row r="45" spans="1:22">
      <c r="A45" s="248">
        <f t="shared" si="1"/>
        <v>12</v>
      </c>
      <c r="B45" s="253">
        <v>2.3380060024621313E-2</v>
      </c>
      <c r="C45" s="263"/>
      <c r="D45" s="161">
        <v>2.5515029357285765E-2</v>
      </c>
      <c r="E45" s="161">
        <v>2.5980298018122419E-2</v>
      </c>
      <c r="F45" s="210">
        <v>2.6457452842590642E-2</v>
      </c>
      <c r="G45" s="210">
        <v>2.7000534486257527E-2</v>
      </c>
      <c r="H45" s="210">
        <v>2.8143864741125027E-2</v>
      </c>
      <c r="I45" s="210">
        <v>2.9292254375115241E-2</v>
      </c>
      <c r="J45" s="227">
        <v>3.0647566875115245E-2</v>
      </c>
      <c r="L45" s="273">
        <v>0.54212499999999997</v>
      </c>
      <c r="M45" s="274"/>
      <c r="N45" s="273">
        <v>0.54212499999999997</v>
      </c>
      <c r="O45" s="273">
        <v>0.54212499999999986</v>
      </c>
      <c r="P45" s="273">
        <v>0.54212499999999997</v>
      </c>
      <c r="Q45" s="273">
        <v>0.54212500000000008</v>
      </c>
      <c r="R45" s="273">
        <v>0.54212499999999997</v>
      </c>
      <c r="S45" s="273">
        <v>0.54212499999999986</v>
      </c>
      <c r="T45" s="273">
        <v>0.54212499999999997</v>
      </c>
      <c r="U45" s="2"/>
    </row>
    <row r="46" spans="1:22">
      <c r="A46" s="248">
        <f t="shared" si="1"/>
        <v>13</v>
      </c>
      <c r="B46" s="253">
        <v>1.416172877211902E-2</v>
      </c>
      <c r="C46" s="263"/>
      <c r="D46" s="161">
        <v>1.5454918635367694E-2</v>
      </c>
      <c r="E46" s="161">
        <v>1.5736740348998753E-2</v>
      </c>
      <c r="F46" s="210">
        <v>1.6025761728726214E-2</v>
      </c>
      <c r="G46" s="210">
        <v>1.6354716185242913E-2</v>
      </c>
      <c r="H46" s="210">
        <v>1.7047252173146284E-2</v>
      </c>
      <c r="I46" s="210">
        <v>1.7742852719259336E-2</v>
      </c>
      <c r="J46" s="227">
        <v>1.8563790219259337E-2</v>
      </c>
      <c r="L46" s="273">
        <v>0.32837499999999997</v>
      </c>
      <c r="M46" s="274"/>
      <c r="N46" s="273">
        <v>0.32837499999999997</v>
      </c>
      <c r="O46" s="273">
        <v>0.32837499999999997</v>
      </c>
      <c r="P46" s="273">
        <v>0.32837499999999997</v>
      </c>
      <c r="Q46" s="273">
        <v>0.32837500000000003</v>
      </c>
      <c r="R46" s="273">
        <v>0.32837499999999992</v>
      </c>
      <c r="S46" s="273">
        <v>0.32837499999999992</v>
      </c>
      <c r="T46" s="273">
        <v>0.32837499999999997</v>
      </c>
      <c r="U46" s="2"/>
    </row>
    <row r="47" spans="1:22">
      <c r="A47" s="248">
        <f t="shared" si="1"/>
        <v>14</v>
      </c>
      <c r="B47" s="253">
        <v>7.3692741650120651E-3</v>
      </c>
      <c r="C47" s="263"/>
      <c r="D47" s="161">
        <v>8.042205471849119E-3</v>
      </c>
      <c r="E47" s="161">
        <v>8.1888557506971035E-3</v>
      </c>
      <c r="F47" s="210">
        <v>8.339252486931379E-3</v>
      </c>
      <c r="G47" s="210">
        <v>8.510429016074253E-3</v>
      </c>
      <c r="H47" s="210">
        <v>8.8708008072672113E-3</v>
      </c>
      <c r="I47" s="210">
        <v>9.2327672886286672E-3</v>
      </c>
      <c r="J47" s="227">
        <v>9.659954788628666E-3</v>
      </c>
      <c r="L47" s="273">
        <v>0.17087499999999994</v>
      </c>
      <c r="M47" s="274"/>
      <c r="N47" s="273">
        <v>0.17087499999999994</v>
      </c>
      <c r="O47" s="273">
        <v>0.17087499999999994</v>
      </c>
      <c r="P47" s="273">
        <v>0.17087499999999994</v>
      </c>
      <c r="Q47" s="273">
        <v>0.17087499999999997</v>
      </c>
      <c r="R47" s="273">
        <v>0.17087499999999992</v>
      </c>
      <c r="S47" s="273">
        <v>0.17087499999999994</v>
      </c>
      <c r="T47" s="273">
        <v>0.17087499999999994</v>
      </c>
      <c r="U47" s="2"/>
    </row>
    <row r="48" spans="1:22">
      <c r="A48" s="248">
        <f t="shared" si="1"/>
        <v>15</v>
      </c>
      <c r="B48" s="253">
        <v>5.8954193320096522E-3</v>
      </c>
      <c r="C48" s="263"/>
      <c r="D48" s="161">
        <v>6.4337643774792959E-3</v>
      </c>
      <c r="E48" s="161">
        <v>6.551084600557683E-3</v>
      </c>
      <c r="F48" s="210">
        <v>6.6714019895451034E-3</v>
      </c>
      <c r="G48" s="210">
        <v>6.8083432128594025E-3</v>
      </c>
      <c r="H48" s="210">
        <v>7.0966406458137692E-3</v>
      </c>
      <c r="I48" s="210">
        <v>7.3862138309029341E-3</v>
      </c>
      <c r="J48" s="227">
        <v>7.7279638309029333E-3</v>
      </c>
      <c r="L48" s="273">
        <v>0.13669999999999996</v>
      </c>
      <c r="M48" s="274"/>
      <c r="N48" s="273">
        <v>0.13669999999999996</v>
      </c>
      <c r="O48" s="273">
        <v>0.13669999999999996</v>
      </c>
      <c r="P48" s="273">
        <v>0.13669999999999996</v>
      </c>
      <c r="Q48" s="273">
        <v>0.13669999999999999</v>
      </c>
      <c r="R48" s="273">
        <v>0.13669999999999996</v>
      </c>
      <c r="S48" s="273">
        <v>0.13669999999999996</v>
      </c>
      <c r="T48" s="273">
        <v>0.13669999999999996</v>
      </c>
      <c r="U48" s="2"/>
    </row>
    <row r="49" spans="1:21">
      <c r="A49" s="248">
        <f t="shared" si="1"/>
        <v>16</v>
      </c>
      <c r="B49" s="253">
        <v>4.716335465607722E-3</v>
      </c>
      <c r="C49" s="263"/>
      <c r="D49" s="161">
        <v>5.1470115019834374E-3</v>
      </c>
      <c r="E49" s="161">
        <v>5.2408676804461471E-3</v>
      </c>
      <c r="F49" s="210">
        <v>5.3371215916360832E-3</v>
      </c>
      <c r="G49" s="210">
        <v>5.4466745702875224E-3</v>
      </c>
      <c r="H49" s="210">
        <v>5.6773125166510157E-3</v>
      </c>
      <c r="I49" s="210">
        <v>5.908971064722348E-3</v>
      </c>
      <c r="J49" s="227">
        <v>6.1823710647223471E-3</v>
      </c>
      <c r="L49" s="273">
        <v>0.10935999999999997</v>
      </c>
      <c r="M49" s="274"/>
      <c r="N49" s="273">
        <v>0.10935999999999997</v>
      </c>
      <c r="O49" s="273">
        <v>0.10935999999999996</v>
      </c>
      <c r="P49" s="273">
        <v>0.10935999999999997</v>
      </c>
      <c r="Q49" s="273">
        <v>0.10936</v>
      </c>
      <c r="R49" s="273">
        <v>0.10935999999999997</v>
      </c>
      <c r="S49" s="273">
        <v>0.10935999999999997</v>
      </c>
      <c r="T49" s="273">
        <v>0.10935999999999997</v>
      </c>
      <c r="U49" s="2"/>
    </row>
    <row r="50" spans="1:21">
      <c r="A50" s="248">
        <f t="shared" si="1"/>
        <v>17</v>
      </c>
      <c r="B50" s="253">
        <v>3.7730683724861778E-3</v>
      </c>
      <c r="C50" s="263"/>
      <c r="D50" s="161">
        <v>4.1176092015867503E-3</v>
      </c>
      <c r="E50" s="161">
        <v>4.1926941443569182E-3</v>
      </c>
      <c r="F50" s="210">
        <v>4.2696972733088671E-3</v>
      </c>
      <c r="G50" s="210">
        <v>4.3573396562300182E-3</v>
      </c>
      <c r="H50" s="210">
        <v>4.5418500133208124E-3</v>
      </c>
      <c r="I50" s="210">
        <v>4.7271768517778787E-3</v>
      </c>
      <c r="J50" s="227">
        <v>4.9458968517778782E-3</v>
      </c>
      <c r="L50" s="273">
        <v>8.7487999999999982E-2</v>
      </c>
      <c r="M50" s="274"/>
      <c r="N50" s="273">
        <v>8.7487999999999996E-2</v>
      </c>
      <c r="O50" s="273">
        <v>8.7487999999999969E-2</v>
      </c>
      <c r="P50" s="273">
        <v>8.7487999999999982E-2</v>
      </c>
      <c r="Q50" s="273">
        <v>8.7487999999999996E-2</v>
      </c>
      <c r="R50" s="273">
        <v>8.7487999999999969E-2</v>
      </c>
      <c r="S50" s="273">
        <v>8.7487999999999982E-2</v>
      </c>
      <c r="T50" s="273">
        <v>8.7487999999999982E-2</v>
      </c>
      <c r="U50" s="2"/>
    </row>
    <row r="51" spans="1:21">
      <c r="A51" s="248">
        <f t="shared" si="1"/>
        <v>18</v>
      </c>
      <c r="B51" s="253">
        <v>3.0184546979889425E-3</v>
      </c>
      <c r="C51" s="263"/>
      <c r="D51" s="161">
        <v>3.2940873612694005E-3</v>
      </c>
      <c r="E51" s="161">
        <v>3.3541553154855346E-3</v>
      </c>
      <c r="F51" s="210">
        <v>3.4157578186470939E-3</v>
      </c>
      <c r="G51" s="210">
        <v>3.4858717249840149E-3</v>
      </c>
      <c r="H51" s="210">
        <v>3.6334800106566502E-3</v>
      </c>
      <c r="I51" s="210">
        <v>3.781741481422303E-3</v>
      </c>
      <c r="J51" s="227">
        <v>3.9567174814223024E-3</v>
      </c>
      <c r="L51" s="273">
        <v>6.999039999999998E-2</v>
      </c>
      <c r="M51" s="274"/>
      <c r="N51" s="273">
        <v>6.999039999999998E-2</v>
      </c>
      <c r="O51" s="273">
        <v>6.999039999999998E-2</v>
      </c>
      <c r="P51" s="273">
        <v>6.9990399999999994E-2</v>
      </c>
      <c r="Q51" s="273">
        <v>6.9990399999999994E-2</v>
      </c>
      <c r="R51" s="273">
        <v>6.999039999999998E-2</v>
      </c>
      <c r="S51" s="273">
        <v>6.999039999999998E-2</v>
      </c>
      <c r="T51" s="273">
        <v>6.9990399999999994E-2</v>
      </c>
      <c r="U51" s="2"/>
    </row>
    <row r="52" spans="1:21">
      <c r="A52" s="248">
        <f t="shared" si="1"/>
        <v>19</v>
      </c>
      <c r="B52" s="253">
        <v>2.414763758391154E-3</v>
      </c>
      <c r="C52" s="263"/>
      <c r="D52" s="161">
        <v>2.6352698890155205E-3</v>
      </c>
      <c r="E52" s="161">
        <v>2.6833242523884278E-3</v>
      </c>
      <c r="F52" s="210">
        <v>2.7326062549176753E-3</v>
      </c>
      <c r="G52" s="210">
        <v>2.788697379987212E-3</v>
      </c>
      <c r="H52" s="210">
        <v>2.9067840085253201E-3</v>
      </c>
      <c r="I52" s="210">
        <v>3.0253931851378425E-3</v>
      </c>
      <c r="J52" s="227">
        <v>3.1653739851378419E-3</v>
      </c>
      <c r="L52" s="273">
        <v>5.5992319999999991E-2</v>
      </c>
      <c r="M52" s="274"/>
      <c r="N52" s="273">
        <v>5.5992319999999998E-2</v>
      </c>
      <c r="O52" s="273">
        <v>5.5992319999999991E-2</v>
      </c>
      <c r="P52" s="273">
        <v>5.5992319999999991E-2</v>
      </c>
      <c r="Q52" s="273">
        <v>5.5992319999999998E-2</v>
      </c>
      <c r="R52" s="273">
        <v>5.5992319999999991E-2</v>
      </c>
      <c r="S52" s="273">
        <v>5.5992319999999991E-2</v>
      </c>
      <c r="T52" s="273">
        <v>5.5992319999999991E-2</v>
      </c>
      <c r="U52" s="2"/>
    </row>
    <row r="53" spans="1:21">
      <c r="A53" s="246">
        <f t="shared" si="1"/>
        <v>20</v>
      </c>
      <c r="B53" s="254">
        <v>1.9318110067129233E-3</v>
      </c>
      <c r="C53" s="264"/>
      <c r="D53" s="225">
        <v>2.1082159112124164E-3</v>
      </c>
      <c r="E53" s="225">
        <v>2.1466594019107425E-3</v>
      </c>
      <c r="F53" s="233">
        <v>2.1860850039341403E-3</v>
      </c>
      <c r="G53" s="233">
        <v>2.2309579039897698E-3</v>
      </c>
      <c r="H53" s="233">
        <v>2.3254272068202564E-3</v>
      </c>
      <c r="I53" s="233">
        <v>2.420314548110274E-3</v>
      </c>
      <c r="J53" s="234">
        <v>2.5322991881102739E-3</v>
      </c>
      <c r="L53" s="273">
        <v>4.4793856E-2</v>
      </c>
      <c r="M53" s="274"/>
      <c r="N53" s="273">
        <v>4.4793856E-2</v>
      </c>
      <c r="O53" s="273">
        <v>4.4793855999999993E-2</v>
      </c>
      <c r="P53" s="273">
        <v>4.4793856E-2</v>
      </c>
      <c r="Q53" s="273">
        <v>4.4793856000000007E-2</v>
      </c>
      <c r="R53" s="273">
        <v>4.4793855999999986E-2</v>
      </c>
      <c r="S53" s="273">
        <v>4.4793856E-2</v>
      </c>
      <c r="T53" s="273">
        <v>4.4793856E-2</v>
      </c>
      <c r="U53" s="2"/>
    </row>
    <row r="55" spans="1:21">
      <c r="G55" s="30"/>
      <c r="H55" s="30"/>
      <c r="I55" s="30"/>
      <c r="J55" s="30"/>
      <c r="K55" s="30"/>
      <c r="L55" s="30"/>
    </row>
    <row r="56" spans="1:21" ht="15">
      <c r="A56" s="245" t="s">
        <v>98</v>
      </c>
      <c r="B56" s="278">
        <v>4.0000000000000001E-3</v>
      </c>
      <c r="C56" s="279"/>
      <c r="D56" s="279"/>
      <c r="E56" s="279"/>
      <c r="F56" s="279"/>
      <c r="G56" s="279"/>
      <c r="H56" s="279"/>
      <c r="I56" s="279"/>
      <c r="J56" s="280"/>
      <c r="L56" s="278">
        <v>4.0000000000000001E-3</v>
      </c>
      <c r="M56" s="279"/>
      <c r="N56" s="279"/>
      <c r="O56" s="279"/>
      <c r="P56" s="279"/>
      <c r="Q56" s="279"/>
      <c r="R56" s="279"/>
      <c r="S56" s="279"/>
      <c r="T56" s="280"/>
    </row>
    <row r="57" spans="1:21" ht="15">
      <c r="A57" s="246" t="s">
        <v>99</v>
      </c>
      <c r="B57" s="256">
        <v>0</v>
      </c>
      <c r="C57" s="259"/>
      <c r="D57" s="252">
        <v>1.2500000000000001E-2</v>
      </c>
      <c r="E57" s="251">
        <v>1.4999999999999999E-2</v>
      </c>
      <c r="F57" s="251">
        <v>1.7500000000000002E-2</v>
      </c>
      <c r="G57" s="251">
        <v>0.02</v>
      </c>
      <c r="H57" s="251">
        <v>2.2499999999999999E-2</v>
      </c>
      <c r="I57" s="251">
        <v>2.5000000000000001E-2</v>
      </c>
      <c r="J57" s="255">
        <v>2.75E-2</v>
      </c>
      <c r="L57" s="256">
        <v>0</v>
      </c>
      <c r="M57" s="259"/>
      <c r="N57" s="257">
        <v>1.2500000000000001E-2</v>
      </c>
      <c r="O57" s="257">
        <v>1.4999999999999999E-2</v>
      </c>
      <c r="P57" s="257">
        <v>1.7500000000000002E-2</v>
      </c>
      <c r="Q57" s="257">
        <v>0.02</v>
      </c>
      <c r="R57" s="257">
        <v>2.2499999999999999E-2</v>
      </c>
      <c r="S57" s="257">
        <v>2.5000000000000001E-2</v>
      </c>
      <c r="T57" s="258">
        <v>2.75E-2</v>
      </c>
    </row>
    <row r="58" spans="1:21">
      <c r="A58" s="247">
        <v>1</v>
      </c>
      <c r="B58" s="269">
        <v>5.6600000000000001E-3</v>
      </c>
      <c r="C58" s="262"/>
      <c r="D58" s="223">
        <v>6.9099999999999995E-3</v>
      </c>
      <c r="E58" s="223">
        <v>7.1599999999999997E-3</v>
      </c>
      <c r="F58" s="163">
        <v>7.4099999999999999E-3</v>
      </c>
      <c r="G58" s="163">
        <v>7.6600000000000001E-3</v>
      </c>
      <c r="H58" s="163">
        <v>7.9100000000000004E-3</v>
      </c>
      <c r="I58" s="163">
        <v>8.1600000000000006E-3</v>
      </c>
      <c r="J58" s="232">
        <v>8.4100000000000008E-3</v>
      </c>
      <c r="L58" s="273">
        <v>1</v>
      </c>
      <c r="M58" s="274"/>
      <c r="N58" s="273">
        <v>0.31818181818181818</v>
      </c>
      <c r="O58" s="273">
        <v>0.28947368421052633</v>
      </c>
      <c r="P58" s="273">
        <v>0.26744186046511625</v>
      </c>
      <c r="Q58" s="273">
        <v>0.25</v>
      </c>
      <c r="R58" s="273">
        <v>0.23584905660377362</v>
      </c>
      <c r="S58" s="273">
        <v>0.22413793103448276</v>
      </c>
      <c r="T58" s="273">
        <v>0.2142857142857143</v>
      </c>
      <c r="U58" s="2"/>
    </row>
    <row r="59" spans="1:21">
      <c r="A59" s="248">
        <f>A58+1</f>
        <v>2</v>
      </c>
      <c r="B59" s="253">
        <v>5.9800000000000001E-3</v>
      </c>
      <c r="C59" s="263"/>
      <c r="D59" s="161">
        <v>9.7300000000000008E-3</v>
      </c>
      <c r="E59" s="161">
        <v>1.048E-2</v>
      </c>
      <c r="F59" s="210">
        <v>1.123E-2</v>
      </c>
      <c r="G59" s="210">
        <v>1.1980000000000001E-2</v>
      </c>
      <c r="H59" s="210">
        <v>1.2730000000000002E-2</v>
      </c>
      <c r="I59" s="210">
        <v>1.3480000000000001E-2</v>
      </c>
      <c r="J59" s="227">
        <v>1.4230000000000001E-2</v>
      </c>
      <c r="L59" s="273">
        <v>1</v>
      </c>
      <c r="M59" s="274"/>
      <c r="N59" s="273">
        <v>0.46969696969696972</v>
      </c>
      <c r="O59" s="273">
        <v>0.44736842105263164</v>
      </c>
      <c r="P59" s="273">
        <v>0.43023255813953493</v>
      </c>
      <c r="Q59" s="273">
        <v>0.41666666666666674</v>
      </c>
      <c r="R59" s="273">
        <v>0.40566037735849059</v>
      </c>
      <c r="S59" s="273">
        <v>0.39655172413793105</v>
      </c>
      <c r="T59" s="273">
        <v>0.38888888888888895</v>
      </c>
      <c r="U59" s="2"/>
    </row>
    <row r="60" spans="1:21">
      <c r="A60" s="248">
        <f t="shared" ref="A60:A77" si="2">A59+1</f>
        <v>3</v>
      </c>
      <c r="B60" s="253">
        <v>6.5399999999999998E-3</v>
      </c>
      <c r="C60" s="263"/>
      <c r="D60" s="161">
        <v>1.4664999999999999E-2</v>
      </c>
      <c r="E60" s="161">
        <v>1.6289999999999999E-2</v>
      </c>
      <c r="F60" s="210">
        <v>1.7915E-2</v>
      </c>
      <c r="G60" s="210">
        <v>1.9540000000000002E-2</v>
      </c>
      <c r="H60" s="210">
        <v>2.1164999999999996E-2</v>
      </c>
      <c r="I60" s="210">
        <v>2.2789999999999998E-2</v>
      </c>
      <c r="J60" s="227">
        <v>2.4414999999999999E-2</v>
      </c>
      <c r="L60" s="273">
        <v>1</v>
      </c>
      <c r="M60" s="274"/>
      <c r="N60" s="273">
        <v>0.73484848484848486</v>
      </c>
      <c r="O60" s="273">
        <v>0.72368421052631582</v>
      </c>
      <c r="P60" s="273">
        <v>0.71511627906976749</v>
      </c>
      <c r="Q60" s="273">
        <v>0.70833333333333337</v>
      </c>
      <c r="R60" s="273">
        <v>0.70283018867924529</v>
      </c>
      <c r="S60" s="273">
        <v>0.69827586206896552</v>
      </c>
      <c r="T60" s="273">
        <v>0.69444444444444453</v>
      </c>
      <c r="U60" s="2"/>
    </row>
    <row r="61" spans="1:21">
      <c r="A61" s="248">
        <f t="shared" si="2"/>
        <v>4</v>
      </c>
      <c r="B61" s="253">
        <v>1.3685853478767732E-2</v>
      </c>
      <c r="C61" s="263"/>
      <c r="D61" s="161">
        <v>2.6185853478767729E-2</v>
      </c>
      <c r="E61" s="161">
        <v>2.8685853478767731E-2</v>
      </c>
      <c r="F61" s="210">
        <v>3.1185853478767733E-2</v>
      </c>
      <c r="G61" s="210">
        <v>3.3685853478767729E-2</v>
      </c>
      <c r="H61" s="210">
        <v>3.6185853478767731E-2</v>
      </c>
      <c r="I61" s="210">
        <v>3.8685853478767733E-2</v>
      </c>
      <c r="J61" s="227">
        <v>4.1185853478767728E-2</v>
      </c>
      <c r="L61" s="273">
        <v>1</v>
      </c>
      <c r="M61" s="274"/>
      <c r="N61" s="273">
        <v>1</v>
      </c>
      <c r="O61" s="273">
        <v>1</v>
      </c>
      <c r="P61" s="273">
        <v>1</v>
      </c>
      <c r="Q61" s="273">
        <v>1</v>
      </c>
      <c r="R61" s="273">
        <v>1</v>
      </c>
      <c r="S61" s="273">
        <v>1</v>
      </c>
      <c r="T61" s="273">
        <v>1</v>
      </c>
      <c r="U61" s="2"/>
    </row>
    <row r="62" spans="1:21">
      <c r="A62" s="248">
        <f t="shared" si="2"/>
        <v>5</v>
      </c>
      <c r="B62" s="253">
        <v>4.3717358349524151E-2</v>
      </c>
      <c r="C62" s="263"/>
      <c r="D62" s="161">
        <v>4.7655507914042397E-2</v>
      </c>
      <c r="E62" s="161">
        <v>4.8513739245998416E-2</v>
      </c>
      <c r="F62" s="210">
        <v>4.9393895712621823E-2</v>
      </c>
      <c r="G62" s="210">
        <v>5.0395660330868342E-2</v>
      </c>
      <c r="H62" s="210">
        <v>5.2504639357601093E-2</v>
      </c>
      <c r="I62" s="210">
        <v>5.462295087983346E-2</v>
      </c>
      <c r="J62" s="227">
        <v>5.7122950879833455E-2</v>
      </c>
      <c r="L62" s="273">
        <v>1</v>
      </c>
      <c r="M62" s="274"/>
      <c r="N62" s="273">
        <v>1</v>
      </c>
      <c r="O62" s="273">
        <v>1</v>
      </c>
      <c r="P62" s="273">
        <v>1</v>
      </c>
      <c r="Q62" s="273">
        <v>1</v>
      </c>
      <c r="R62" s="273">
        <v>1</v>
      </c>
      <c r="S62" s="273">
        <v>1</v>
      </c>
      <c r="T62" s="273">
        <v>1</v>
      </c>
      <c r="U62" s="2"/>
    </row>
    <row r="63" spans="1:21">
      <c r="A63" s="248">
        <f t="shared" si="2"/>
        <v>6</v>
      </c>
      <c r="B63" s="253">
        <v>4.3717358349524151E-2</v>
      </c>
      <c r="C63" s="263"/>
      <c r="D63" s="161">
        <v>4.7655507914042397E-2</v>
      </c>
      <c r="E63" s="161">
        <v>4.8513739245998416E-2</v>
      </c>
      <c r="F63" s="210">
        <v>4.9393895712621823E-2</v>
      </c>
      <c r="G63" s="210">
        <v>5.0395660330868342E-2</v>
      </c>
      <c r="H63" s="210">
        <v>5.2504639357601093E-2</v>
      </c>
      <c r="I63" s="210">
        <v>5.462295087983346E-2</v>
      </c>
      <c r="J63" s="227">
        <v>5.7122950879833455E-2</v>
      </c>
      <c r="L63" s="273">
        <v>1</v>
      </c>
      <c r="M63" s="274"/>
      <c r="N63" s="273">
        <v>1</v>
      </c>
      <c r="O63" s="273">
        <v>1</v>
      </c>
      <c r="P63" s="273">
        <v>1</v>
      </c>
      <c r="Q63" s="273">
        <v>1</v>
      </c>
      <c r="R63" s="273">
        <v>1</v>
      </c>
      <c r="S63" s="273">
        <v>1</v>
      </c>
      <c r="T63" s="273">
        <v>1</v>
      </c>
      <c r="U63" s="2"/>
    </row>
    <row r="64" spans="1:21">
      <c r="A64" s="248">
        <f t="shared" si="2"/>
        <v>7</v>
      </c>
      <c r="B64" s="253">
        <v>4.3717358349524151E-2</v>
      </c>
      <c r="C64" s="263"/>
      <c r="D64" s="161">
        <v>4.7655507914042397E-2</v>
      </c>
      <c r="E64" s="161">
        <v>4.8513739245998416E-2</v>
      </c>
      <c r="F64" s="210">
        <v>4.9393895712621823E-2</v>
      </c>
      <c r="G64" s="210">
        <v>5.0395660330868342E-2</v>
      </c>
      <c r="H64" s="210">
        <v>5.2504639357601093E-2</v>
      </c>
      <c r="I64" s="210">
        <v>5.462295087983346E-2</v>
      </c>
      <c r="J64" s="227">
        <v>5.7122950879833455E-2</v>
      </c>
      <c r="L64" s="273">
        <v>1</v>
      </c>
      <c r="M64" s="274"/>
      <c r="N64" s="273">
        <v>1</v>
      </c>
      <c r="O64" s="273">
        <v>1</v>
      </c>
      <c r="P64" s="273">
        <v>1</v>
      </c>
      <c r="Q64" s="273">
        <v>1</v>
      </c>
      <c r="R64" s="273">
        <v>1</v>
      </c>
      <c r="S64" s="273">
        <v>1</v>
      </c>
      <c r="T64" s="273">
        <v>1</v>
      </c>
      <c r="U64" s="2"/>
    </row>
    <row r="65" spans="1:21">
      <c r="A65" s="248">
        <f t="shared" si="2"/>
        <v>8</v>
      </c>
      <c r="B65" s="253">
        <v>4.3717358349524151E-2</v>
      </c>
      <c r="C65" s="263"/>
      <c r="D65" s="161">
        <v>4.7655507914042397E-2</v>
      </c>
      <c r="E65" s="161">
        <v>4.8513739245998416E-2</v>
      </c>
      <c r="F65" s="210">
        <v>4.9393895712621823E-2</v>
      </c>
      <c r="G65" s="210">
        <v>5.0395660330868342E-2</v>
      </c>
      <c r="H65" s="210">
        <v>5.2504639357601093E-2</v>
      </c>
      <c r="I65" s="210">
        <v>5.462295087983346E-2</v>
      </c>
      <c r="J65" s="227">
        <v>5.7122950879833455E-2</v>
      </c>
      <c r="L65" s="273">
        <v>1</v>
      </c>
      <c r="M65" s="274"/>
      <c r="N65" s="273">
        <v>1</v>
      </c>
      <c r="O65" s="273">
        <v>1</v>
      </c>
      <c r="P65" s="273">
        <v>1</v>
      </c>
      <c r="Q65" s="273">
        <v>1</v>
      </c>
      <c r="R65" s="273">
        <v>1</v>
      </c>
      <c r="S65" s="273">
        <v>1</v>
      </c>
      <c r="T65" s="273">
        <v>1</v>
      </c>
      <c r="U65" s="2"/>
    </row>
    <row r="66" spans="1:21">
      <c r="A66" s="248">
        <f t="shared" si="2"/>
        <v>9</v>
      </c>
      <c r="B66" s="253">
        <v>4.283208184294629E-2</v>
      </c>
      <c r="C66" s="263"/>
      <c r="D66" s="161">
        <v>4.6690483878783037E-2</v>
      </c>
      <c r="E66" s="161">
        <v>4.7531336026266947E-2</v>
      </c>
      <c r="F66" s="210">
        <v>4.8393669324441231E-2</v>
      </c>
      <c r="G66" s="210">
        <v>4.937514820916826E-2</v>
      </c>
      <c r="H66" s="210">
        <v>5.1441420410609673E-2</v>
      </c>
      <c r="I66" s="210">
        <v>5.3516836124516826E-2</v>
      </c>
      <c r="J66" s="227">
        <v>5.5966211124516829E-2</v>
      </c>
      <c r="L66" s="273">
        <v>0.9797499999999999</v>
      </c>
      <c r="M66" s="274"/>
      <c r="N66" s="273">
        <v>0.9797499999999999</v>
      </c>
      <c r="O66" s="273">
        <v>0.97975000000000001</v>
      </c>
      <c r="P66" s="273">
        <v>0.9797499999999999</v>
      </c>
      <c r="Q66" s="273">
        <v>0.97975000000000001</v>
      </c>
      <c r="R66" s="273">
        <v>0.9797499999999999</v>
      </c>
      <c r="S66" s="273">
        <v>0.97975000000000001</v>
      </c>
      <c r="T66" s="273">
        <v>0.97975000000000001</v>
      </c>
      <c r="U66" s="2"/>
    </row>
    <row r="67" spans="1:21">
      <c r="A67" s="248">
        <f t="shared" si="2"/>
        <v>10</v>
      </c>
      <c r="B67" s="253">
        <v>3.9979524210639841E-2</v>
      </c>
      <c r="C67" s="263"/>
      <c r="D67" s="161">
        <v>4.3580961987391767E-2</v>
      </c>
      <c r="E67" s="161">
        <v>4.4365814540465551E-2</v>
      </c>
      <c r="F67" s="210">
        <v>4.5170717629192655E-2</v>
      </c>
      <c r="G67" s="210">
        <v>4.6086831372579094E-2</v>
      </c>
      <c r="H67" s="210">
        <v>4.8015492692526196E-2</v>
      </c>
      <c r="I67" s="210">
        <v>4.995268857960769E-2</v>
      </c>
      <c r="J67" s="227">
        <v>5.2238938579607694E-2</v>
      </c>
      <c r="L67" s="273">
        <v>0.91449999999999998</v>
      </c>
      <c r="M67" s="274"/>
      <c r="N67" s="273">
        <v>0.91449999999999998</v>
      </c>
      <c r="O67" s="273">
        <v>0.91449999999999998</v>
      </c>
      <c r="P67" s="273">
        <v>0.91449999999999987</v>
      </c>
      <c r="Q67" s="273">
        <v>0.91450000000000009</v>
      </c>
      <c r="R67" s="273">
        <v>0.91449999999999998</v>
      </c>
      <c r="S67" s="273">
        <v>0.91450000000000009</v>
      </c>
      <c r="T67" s="273">
        <v>0.91449999999999998</v>
      </c>
      <c r="U67" s="2"/>
    </row>
    <row r="68" spans="1:21">
      <c r="A68" s="248">
        <f t="shared" si="2"/>
        <v>11</v>
      </c>
      <c r="B68" s="253">
        <v>3.3635042580165142E-2</v>
      </c>
      <c r="C68" s="263"/>
      <c r="D68" s="161">
        <v>3.6664956401366369E-2</v>
      </c>
      <c r="E68" s="161">
        <v>3.732525813239003E-2</v>
      </c>
      <c r="F68" s="210">
        <v>3.8002428513898415E-2</v>
      </c>
      <c r="G68" s="210">
        <v>3.877316116706183E-2</v>
      </c>
      <c r="H68" s="210">
        <v>4.0395756905754338E-2</v>
      </c>
      <c r="I68" s="210">
        <v>4.2025532833171862E-2</v>
      </c>
      <c r="J68" s="227">
        <v>4.3948970333171862E-2</v>
      </c>
      <c r="L68" s="273">
        <v>0.76937499999999992</v>
      </c>
      <c r="M68" s="274"/>
      <c r="N68" s="273">
        <v>0.76937499999999992</v>
      </c>
      <c r="O68" s="273">
        <v>0.76937500000000003</v>
      </c>
      <c r="P68" s="273">
        <v>0.76937499999999992</v>
      </c>
      <c r="Q68" s="273">
        <v>0.76937499999999992</v>
      </c>
      <c r="R68" s="273">
        <v>0.76937499999999992</v>
      </c>
      <c r="S68" s="273">
        <v>0.76937499999999992</v>
      </c>
      <c r="T68" s="273">
        <v>0.76937499999999992</v>
      </c>
      <c r="U68" s="2"/>
    </row>
    <row r="69" spans="1:21">
      <c r="A69" s="248">
        <f t="shared" si="2"/>
        <v>12</v>
      </c>
      <c r="B69" s="253">
        <v>2.3700272895235783E-2</v>
      </c>
      <c r="C69" s="263"/>
      <c r="D69" s="161">
        <v>2.5835242227900231E-2</v>
      </c>
      <c r="E69" s="161">
        <v>2.6300510888736885E-2</v>
      </c>
      <c r="F69" s="210">
        <v>2.6777665713205109E-2</v>
      </c>
      <c r="G69" s="210">
        <v>2.7320747356871997E-2</v>
      </c>
      <c r="H69" s="210">
        <v>2.8464077611739493E-2</v>
      </c>
      <c r="I69" s="210">
        <v>2.9612467245729711E-2</v>
      </c>
      <c r="J69" s="227">
        <v>3.0967779745729711E-2</v>
      </c>
      <c r="L69" s="273">
        <v>0.54212499999999997</v>
      </c>
      <c r="M69" s="274"/>
      <c r="N69" s="273">
        <v>0.54212499999999997</v>
      </c>
      <c r="O69" s="273">
        <v>0.54212499999999997</v>
      </c>
      <c r="P69" s="273">
        <v>0.54212499999999997</v>
      </c>
      <c r="Q69" s="273">
        <v>0.54212499999999997</v>
      </c>
      <c r="R69" s="273">
        <v>0.54212499999999997</v>
      </c>
      <c r="S69" s="273">
        <v>0.54212499999999997</v>
      </c>
      <c r="T69" s="273">
        <v>0.54212499999999997</v>
      </c>
      <c r="U69" s="2"/>
    </row>
    <row r="70" spans="1:21">
      <c r="A70" s="248">
        <f t="shared" si="2"/>
        <v>13</v>
      </c>
      <c r="B70" s="253">
        <v>1.4355687548024994E-2</v>
      </c>
      <c r="C70" s="263"/>
      <c r="D70" s="161">
        <v>1.564887741127367E-2</v>
      </c>
      <c r="E70" s="161">
        <v>1.5930699124904728E-2</v>
      </c>
      <c r="F70" s="210">
        <v>1.621972050463219E-2</v>
      </c>
      <c r="G70" s="210">
        <v>1.6548674961148889E-2</v>
      </c>
      <c r="H70" s="210">
        <v>1.724121094905226E-2</v>
      </c>
      <c r="I70" s="210">
        <v>1.7936811495165312E-2</v>
      </c>
      <c r="J70" s="227">
        <v>1.8757748995165312E-2</v>
      </c>
      <c r="L70" s="273">
        <v>0.32837499999999997</v>
      </c>
      <c r="M70" s="274"/>
      <c r="N70" s="273">
        <v>0.32837499999999997</v>
      </c>
      <c r="O70" s="273">
        <v>0.32837500000000003</v>
      </c>
      <c r="P70" s="273">
        <v>0.32837499999999997</v>
      </c>
      <c r="Q70" s="273">
        <v>0.32837499999999997</v>
      </c>
      <c r="R70" s="273">
        <v>0.32837499999999997</v>
      </c>
      <c r="S70" s="273">
        <v>0.32837499999999997</v>
      </c>
      <c r="T70" s="273">
        <v>0.32837500000000003</v>
      </c>
      <c r="U70" s="2"/>
    </row>
    <row r="71" spans="1:21">
      <c r="A71" s="248">
        <f t="shared" si="2"/>
        <v>14</v>
      </c>
      <c r="B71" s="253">
        <v>7.4702036079749377E-3</v>
      </c>
      <c r="C71" s="263"/>
      <c r="D71" s="161">
        <v>8.1431349148119933E-3</v>
      </c>
      <c r="E71" s="161">
        <v>8.2897851936599761E-3</v>
      </c>
      <c r="F71" s="210">
        <v>8.4401819298942533E-3</v>
      </c>
      <c r="G71" s="210">
        <v>8.6113584590371255E-3</v>
      </c>
      <c r="H71" s="210">
        <v>8.9717302502300839E-3</v>
      </c>
      <c r="I71" s="210">
        <v>9.3336967315915398E-3</v>
      </c>
      <c r="J71" s="227">
        <v>9.7608842315915385E-3</v>
      </c>
      <c r="L71" s="273">
        <v>0.17087499999999994</v>
      </c>
      <c r="M71" s="274"/>
      <c r="N71" s="273">
        <v>0.17087499999999994</v>
      </c>
      <c r="O71" s="273">
        <v>0.17087499999999994</v>
      </c>
      <c r="P71" s="273">
        <v>0.17087499999999994</v>
      </c>
      <c r="Q71" s="273">
        <v>0.17087499999999994</v>
      </c>
      <c r="R71" s="273">
        <v>0.17087499999999994</v>
      </c>
      <c r="S71" s="273">
        <v>0.17087499999999994</v>
      </c>
      <c r="T71" s="273">
        <v>0.17087499999999994</v>
      </c>
      <c r="U71" s="2"/>
    </row>
    <row r="72" spans="1:21">
      <c r="A72" s="248">
        <f t="shared" si="2"/>
        <v>15</v>
      </c>
      <c r="B72" s="253">
        <v>5.9761628863799505E-3</v>
      </c>
      <c r="C72" s="263"/>
      <c r="D72" s="161">
        <v>6.514507931849595E-3</v>
      </c>
      <c r="E72" s="161">
        <v>6.6318281549279812E-3</v>
      </c>
      <c r="F72" s="210">
        <v>6.7521455439154034E-3</v>
      </c>
      <c r="G72" s="210">
        <v>6.8890867672297008E-3</v>
      </c>
      <c r="H72" s="210">
        <v>7.1773842001840674E-3</v>
      </c>
      <c r="I72" s="210">
        <v>7.4669573852732323E-3</v>
      </c>
      <c r="J72" s="227">
        <v>7.8087073852732315E-3</v>
      </c>
      <c r="L72" s="273">
        <v>0.13669999999999996</v>
      </c>
      <c r="M72" s="274"/>
      <c r="N72" s="273">
        <v>0.13669999999999996</v>
      </c>
      <c r="O72" s="273">
        <v>0.13669999999999996</v>
      </c>
      <c r="P72" s="273">
        <v>0.13669999999999996</v>
      </c>
      <c r="Q72" s="273">
        <v>0.13669999999999999</v>
      </c>
      <c r="R72" s="273">
        <v>0.13669999999999996</v>
      </c>
      <c r="S72" s="273">
        <v>0.13669999999999996</v>
      </c>
      <c r="T72" s="273">
        <v>0.13669999999999996</v>
      </c>
      <c r="U72" s="2"/>
    </row>
    <row r="73" spans="1:21">
      <c r="A73" s="248">
        <f t="shared" si="2"/>
        <v>16</v>
      </c>
      <c r="B73" s="253">
        <v>4.7809303091039604E-3</v>
      </c>
      <c r="C73" s="263"/>
      <c r="D73" s="161">
        <v>5.2116063454796767E-3</v>
      </c>
      <c r="E73" s="161">
        <v>5.3054625239423855E-3</v>
      </c>
      <c r="F73" s="210">
        <v>5.4017164351323234E-3</v>
      </c>
      <c r="G73" s="210">
        <v>5.5112694137837608E-3</v>
      </c>
      <c r="H73" s="210">
        <v>5.7419073601472541E-3</v>
      </c>
      <c r="I73" s="210">
        <v>5.9735659082185864E-3</v>
      </c>
      <c r="J73" s="227">
        <v>6.2469659082185856E-3</v>
      </c>
      <c r="L73" s="273">
        <v>0.10935999999999997</v>
      </c>
      <c r="M73" s="274"/>
      <c r="N73" s="273">
        <v>0.10935999999999997</v>
      </c>
      <c r="O73" s="273">
        <v>0.10935999999999996</v>
      </c>
      <c r="P73" s="273">
        <v>0.10936</v>
      </c>
      <c r="Q73" s="273">
        <v>0.10935999999999998</v>
      </c>
      <c r="R73" s="273">
        <v>0.10935999999999997</v>
      </c>
      <c r="S73" s="273">
        <v>0.10935999999999997</v>
      </c>
      <c r="T73" s="273">
        <v>0.10935999999999997</v>
      </c>
      <c r="U73" s="2"/>
    </row>
    <row r="74" spans="1:21">
      <c r="A74" s="248">
        <f t="shared" si="2"/>
        <v>17</v>
      </c>
      <c r="B74" s="253">
        <v>3.8247442472831685E-3</v>
      </c>
      <c r="C74" s="263"/>
      <c r="D74" s="161">
        <v>4.1692850763837414E-3</v>
      </c>
      <c r="E74" s="161">
        <v>4.2443700191539084E-3</v>
      </c>
      <c r="F74" s="210">
        <v>4.3213731481058591E-3</v>
      </c>
      <c r="G74" s="210">
        <v>4.4090155310270085E-3</v>
      </c>
      <c r="H74" s="210">
        <v>4.5935258881178035E-3</v>
      </c>
      <c r="I74" s="210">
        <v>4.7788527265748698E-3</v>
      </c>
      <c r="J74" s="227">
        <v>4.9975727265748685E-3</v>
      </c>
      <c r="L74" s="273">
        <v>8.7487999999999982E-2</v>
      </c>
      <c r="M74" s="274"/>
      <c r="N74" s="273">
        <v>8.7487999999999982E-2</v>
      </c>
      <c r="O74" s="273">
        <v>8.7487999999999982E-2</v>
      </c>
      <c r="P74" s="273">
        <v>8.7487999999999996E-2</v>
      </c>
      <c r="Q74" s="273">
        <v>8.7487999999999996E-2</v>
      </c>
      <c r="R74" s="273">
        <v>8.7487999999999982E-2</v>
      </c>
      <c r="S74" s="273">
        <v>8.7487999999999996E-2</v>
      </c>
      <c r="T74" s="273">
        <v>8.7487999999999982E-2</v>
      </c>
      <c r="U74" s="2"/>
    </row>
    <row r="75" spans="1:21">
      <c r="A75" s="248">
        <f t="shared" si="2"/>
        <v>18</v>
      </c>
      <c r="B75" s="253">
        <v>3.0597953978265349E-3</v>
      </c>
      <c r="C75" s="263"/>
      <c r="D75" s="161">
        <v>3.3354280611069933E-3</v>
      </c>
      <c r="E75" s="161">
        <v>3.3954960153231269E-3</v>
      </c>
      <c r="F75" s="210">
        <v>3.4570985184846875E-3</v>
      </c>
      <c r="G75" s="210">
        <v>3.5272124248216068E-3</v>
      </c>
      <c r="H75" s="210">
        <v>3.6748207104942429E-3</v>
      </c>
      <c r="I75" s="210">
        <v>3.8230821812598962E-3</v>
      </c>
      <c r="J75" s="227">
        <v>3.9980581812598948E-3</v>
      </c>
      <c r="L75" s="273">
        <v>6.999039999999998E-2</v>
      </c>
      <c r="M75" s="274"/>
      <c r="N75" s="273">
        <v>6.9990399999999994E-2</v>
      </c>
      <c r="O75" s="273">
        <v>6.9990399999999994E-2</v>
      </c>
      <c r="P75" s="273">
        <v>6.9990399999999994E-2</v>
      </c>
      <c r="Q75" s="273">
        <v>6.9990399999999994E-2</v>
      </c>
      <c r="R75" s="273">
        <v>6.9990399999999994E-2</v>
      </c>
      <c r="S75" s="273">
        <v>6.999039999999998E-2</v>
      </c>
      <c r="T75" s="273">
        <v>6.999039999999998E-2</v>
      </c>
      <c r="U75" s="2"/>
    </row>
    <row r="76" spans="1:21">
      <c r="A76" s="248">
        <f t="shared" si="2"/>
        <v>19</v>
      </c>
      <c r="B76" s="253">
        <v>2.4478363182612282E-3</v>
      </c>
      <c r="C76" s="263"/>
      <c r="D76" s="161">
        <v>2.6683424488855947E-3</v>
      </c>
      <c r="E76" s="161">
        <v>2.7163968122585016E-3</v>
      </c>
      <c r="F76" s="210">
        <v>2.76567881478775E-3</v>
      </c>
      <c r="G76" s="210">
        <v>2.8217699398572858E-3</v>
      </c>
      <c r="H76" s="210">
        <v>2.9398565683953944E-3</v>
      </c>
      <c r="I76" s="210">
        <v>3.0584657450079171E-3</v>
      </c>
      <c r="J76" s="227">
        <v>3.1984465450079162E-3</v>
      </c>
      <c r="L76" s="273">
        <v>5.5992319999999991E-2</v>
      </c>
      <c r="M76" s="274"/>
      <c r="N76" s="273">
        <v>5.5992319999999991E-2</v>
      </c>
      <c r="O76" s="273">
        <v>5.5992319999999991E-2</v>
      </c>
      <c r="P76" s="273">
        <v>5.5992320000000005E-2</v>
      </c>
      <c r="Q76" s="273">
        <v>5.5992319999999998E-2</v>
      </c>
      <c r="R76" s="273">
        <v>5.5992319999999998E-2</v>
      </c>
      <c r="S76" s="273">
        <v>5.5992319999999998E-2</v>
      </c>
      <c r="T76" s="273">
        <v>5.5992319999999991E-2</v>
      </c>
      <c r="U76" s="2"/>
    </row>
    <row r="77" spans="1:21">
      <c r="A77" s="246">
        <f t="shared" si="2"/>
        <v>20</v>
      </c>
      <c r="B77" s="254">
        <v>1.9582690546089826E-3</v>
      </c>
      <c r="C77" s="264"/>
      <c r="D77" s="225">
        <v>2.1346739591084759E-3</v>
      </c>
      <c r="E77" s="225">
        <v>2.1731174498068012E-3</v>
      </c>
      <c r="F77" s="233">
        <v>2.2125430518302003E-3</v>
      </c>
      <c r="G77" s="233">
        <v>2.2574159518858289E-3</v>
      </c>
      <c r="H77" s="233">
        <v>2.3518852547163155E-3</v>
      </c>
      <c r="I77" s="233">
        <v>2.446772596006334E-3</v>
      </c>
      <c r="J77" s="234">
        <v>2.558757236006333E-3</v>
      </c>
      <c r="L77" s="273">
        <v>4.4793856E-2</v>
      </c>
      <c r="M77" s="274"/>
      <c r="N77" s="273">
        <v>4.4793856E-2</v>
      </c>
      <c r="O77" s="273">
        <v>4.4793855999999993E-2</v>
      </c>
      <c r="P77" s="273">
        <v>4.4793856E-2</v>
      </c>
      <c r="Q77" s="273">
        <v>4.4793856E-2</v>
      </c>
      <c r="R77" s="273">
        <v>4.4793855999999993E-2</v>
      </c>
      <c r="S77" s="273">
        <v>4.4793856E-2</v>
      </c>
      <c r="T77" s="273">
        <v>4.4793856E-2</v>
      </c>
      <c r="U77" s="2"/>
    </row>
    <row r="80" spans="1:21" ht="15">
      <c r="A80" s="245" t="s">
        <v>98</v>
      </c>
      <c r="B80" s="278">
        <v>6.0000000000000001E-3</v>
      </c>
      <c r="C80" s="279"/>
      <c r="D80" s="279"/>
      <c r="E80" s="279"/>
      <c r="F80" s="279"/>
      <c r="G80" s="279"/>
      <c r="H80" s="279"/>
      <c r="I80" s="279"/>
      <c r="J80" s="280"/>
      <c r="L80" s="278">
        <v>6.0000000000000001E-3</v>
      </c>
      <c r="M80" s="279"/>
      <c r="N80" s="279"/>
      <c r="O80" s="279"/>
      <c r="P80" s="279"/>
      <c r="Q80" s="279"/>
      <c r="R80" s="279"/>
      <c r="S80" s="279"/>
      <c r="T80" s="280"/>
    </row>
    <row r="81" spans="1:21" ht="15">
      <c r="A81" s="246" t="s">
        <v>99</v>
      </c>
      <c r="B81" s="256">
        <v>0</v>
      </c>
      <c r="C81" s="259"/>
      <c r="D81" s="252">
        <v>1.2500000000000001E-2</v>
      </c>
      <c r="E81" s="251">
        <v>1.4999999999999999E-2</v>
      </c>
      <c r="F81" s="251">
        <v>1.7500000000000002E-2</v>
      </c>
      <c r="G81" s="251">
        <v>0.02</v>
      </c>
      <c r="H81" s="251">
        <v>2.2499999999999999E-2</v>
      </c>
      <c r="I81" s="251">
        <v>2.5000000000000001E-2</v>
      </c>
      <c r="J81" s="255">
        <v>2.75E-2</v>
      </c>
      <c r="L81" s="256">
        <v>0</v>
      </c>
      <c r="M81" s="259"/>
      <c r="N81" s="257">
        <v>1.2500000000000001E-2</v>
      </c>
      <c r="O81" s="257">
        <v>1.4999999999999999E-2</v>
      </c>
      <c r="P81" s="257">
        <v>1.7500000000000002E-2</v>
      </c>
      <c r="Q81" s="257">
        <v>0.02</v>
      </c>
      <c r="R81" s="257">
        <v>2.2499999999999999E-2</v>
      </c>
      <c r="S81" s="257">
        <v>2.5000000000000001E-2</v>
      </c>
      <c r="T81" s="258">
        <v>2.75E-2</v>
      </c>
    </row>
    <row r="82" spans="1:21">
      <c r="A82" s="247">
        <v>1</v>
      </c>
      <c r="B82" s="269">
        <v>7.6600000000000001E-3</v>
      </c>
      <c r="C82" s="262"/>
      <c r="D82" s="223">
        <v>8.9099999999999995E-3</v>
      </c>
      <c r="E82" s="223">
        <v>9.1599999999999997E-3</v>
      </c>
      <c r="F82" s="163">
        <v>9.41E-3</v>
      </c>
      <c r="G82" s="163">
        <v>9.6600000000000002E-3</v>
      </c>
      <c r="H82" s="163">
        <v>9.9099999999999987E-3</v>
      </c>
      <c r="I82" s="163">
        <v>1.0160000000000001E-2</v>
      </c>
      <c r="J82" s="232">
        <v>1.0409999999999999E-2</v>
      </c>
      <c r="L82" s="273">
        <v>1</v>
      </c>
      <c r="M82" s="274"/>
      <c r="N82" s="273">
        <v>0.39189189189189183</v>
      </c>
      <c r="O82" s="273">
        <v>0.35714285714285715</v>
      </c>
      <c r="P82" s="273">
        <v>0.32978723404255317</v>
      </c>
      <c r="Q82" s="273">
        <v>0.30769230769230765</v>
      </c>
      <c r="R82" s="273">
        <v>0.28947368421052633</v>
      </c>
      <c r="S82" s="273">
        <v>0.27419354838709681</v>
      </c>
      <c r="T82" s="273">
        <v>0.2611940298507463</v>
      </c>
      <c r="U82" s="2"/>
    </row>
    <row r="83" spans="1:21">
      <c r="A83" s="248">
        <f>A82+1</f>
        <v>2</v>
      </c>
      <c r="B83" s="253">
        <v>7.9799999999999992E-3</v>
      </c>
      <c r="C83" s="263"/>
      <c r="D83" s="161">
        <v>1.1730000000000001E-2</v>
      </c>
      <c r="E83" s="161">
        <v>1.2480000000000002E-2</v>
      </c>
      <c r="F83" s="210">
        <v>1.3230000000000002E-2</v>
      </c>
      <c r="G83" s="210">
        <v>1.3980000000000001E-2</v>
      </c>
      <c r="H83" s="210">
        <v>1.473E-2</v>
      </c>
      <c r="I83" s="210">
        <v>1.5480000000000001E-2</v>
      </c>
      <c r="J83" s="227">
        <v>1.6230000000000001E-2</v>
      </c>
      <c r="L83" s="273">
        <v>1</v>
      </c>
      <c r="M83" s="274"/>
      <c r="N83" s="273">
        <v>0.52702702702702708</v>
      </c>
      <c r="O83" s="273">
        <v>0.50000000000000011</v>
      </c>
      <c r="P83" s="273">
        <v>0.47872340425531923</v>
      </c>
      <c r="Q83" s="273">
        <v>0.46153846153846151</v>
      </c>
      <c r="R83" s="273">
        <v>0.44736842105263164</v>
      </c>
      <c r="S83" s="273">
        <v>0.43548387096774199</v>
      </c>
      <c r="T83" s="273">
        <v>0.42537313432835827</v>
      </c>
      <c r="U83" s="2"/>
    </row>
    <row r="84" spans="1:21">
      <c r="A84" s="248">
        <f t="shared" ref="A84:A101" si="3">A83+1</f>
        <v>3</v>
      </c>
      <c r="B84" s="253">
        <v>8.539999999999999E-3</v>
      </c>
      <c r="C84" s="263"/>
      <c r="D84" s="161">
        <v>1.6664999999999999E-2</v>
      </c>
      <c r="E84" s="161">
        <v>1.8290000000000001E-2</v>
      </c>
      <c r="F84" s="210">
        <v>1.9915000000000002E-2</v>
      </c>
      <c r="G84" s="210">
        <v>2.154E-2</v>
      </c>
      <c r="H84" s="210">
        <v>2.3164999999999998E-2</v>
      </c>
      <c r="I84" s="210">
        <v>2.479E-2</v>
      </c>
      <c r="J84" s="227">
        <v>2.6415000000000001E-2</v>
      </c>
      <c r="L84" s="273">
        <v>1</v>
      </c>
      <c r="M84" s="274"/>
      <c r="N84" s="273">
        <v>0.76351351351351338</v>
      </c>
      <c r="O84" s="273">
        <v>0.75000000000000011</v>
      </c>
      <c r="P84" s="273">
        <v>0.73936170212765961</v>
      </c>
      <c r="Q84" s="273">
        <v>0.73076923076923084</v>
      </c>
      <c r="R84" s="273">
        <v>0.72368421052631582</v>
      </c>
      <c r="S84" s="273">
        <v>0.71774193548387089</v>
      </c>
      <c r="T84" s="273">
        <v>0.71268656716417911</v>
      </c>
      <c r="U84" s="2"/>
    </row>
    <row r="85" spans="1:21">
      <c r="A85" s="248">
        <f t="shared" si="3"/>
        <v>4</v>
      </c>
      <c r="B85" s="253">
        <v>1.5481143432524169E-2</v>
      </c>
      <c r="C85" s="263"/>
      <c r="D85" s="161">
        <v>2.7981143432524169E-2</v>
      </c>
      <c r="E85" s="161">
        <v>3.0481143432524168E-2</v>
      </c>
      <c r="F85" s="210">
        <v>3.2981143432524174E-2</v>
      </c>
      <c r="G85" s="210">
        <v>3.5481143432524169E-2</v>
      </c>
      <c r="H85" s="210">
        <v>3.7981143432524171E-2</v>
      </c>
      <c r="I85" s="210">
        <v>4.0481143432524173E-2</v>
      </c>
      <c r="J85" s="227">
        <v>4.2981143432524169E-2</v>
      </c>
      <c r="L85" s="273">
        <v>1</v>
      </c>
      <c r="M85" s="274"/>
      <c r="N85" s="273">
        <v>1</v>
      </c>
      <c r="O85" s="273">
        <v>1</v>
      </c>
      <c r="P85" s="273">
        <v>1</v>
      </c>
      <c r="Q85" s="273">
        <v>1</v>
      </c>
      <c r="R85" s="273">
        <v>1</v>
      </c>
      <c r="S85" s="273">
        <v>1</v>
      </c>
      <c r="T85" s="273">
        <v>1</v>
      </c>
      <c r="U85" s="2"/>
    </row>
    <row r="86" spans="1:21">
      <c r="A86" s="248">
        <f t="shared" si="3"/>
        <v>5</v>
      </c>
      <c r="B86" s="253">
        <v>4.5512648303280591E-2</v>
      </c>
      <c r="C86" s="263"/>
      <c r="D86" s="161">
        <v>4.9450797867798837E-2</v>
      </c>
      <c r="E86" s="161">
        <v>5.0309029199754857E-2</v>
      </c>
      <c r="F86" s="210">
        <v>5.1189185666378263E-2</v>
      </c>
      <c r="G86" s="210">
        <v>5.2190950284624782E-2</v>
      </c>
      <c r="H86" s="210">
        <v>5.4299929311357534E-2</v>
      </c>
      <c r="I86" s="210">
        <v>5.64182408335899E-2</v>
      </c>
      <c r="J86" s="227">
        <v>5.8545574179014404E-2</v>
      </c>
      <c r="L86" s="273">
        <v>1</v>
      </c>
      <c r="M86" s="274"/>
      <c r="N86" s="273">
        <v>1</v>
      </c>
      <c r="O86" s="273">
        <v>1</v>
      </c>
      <c r="P86" s="273">
        <v>1</v>
      </c>
      <c r="Q86" s="273">
        <v>1</v>
      </c>
      <c r="R86" s="273">
        <v>1</v>
      </c>
      <c r="S86" s="273">
        <v>1</v>
      </c>
      <c r="T86" s="273">
        <v>1</v>
      </c>
      <c r="U86" s="2"/>
    </row>
    <row r="87" spans="1:21">
      <c r="A87" s="248">
        <f t="shared" si="3"/>
        <v>6</v>
      </c>
      <c r="B87" s="253">
        <v>4.5512648303280591E-2</v>
      </c>
      <c r="C87" s="263"/>
      <c r="D87" s="161">
        <v>4.9450797867798837E-2</v>
      </c>
      <c r="E87" s="161">
        <v>5.0309029199754857E-2</v>
      </c>
      <c r="F87" s="210">
        <v>5.1189185666378263E-2</v>
      </c>
      <c r="G87" s="210">
        <v>5.2190950284624782E-2</v>
      </c>
      <c r="H87" s="210">
        <v>5.4299929311357534E-2</v>
      </c>
      <c r="I87" s="210">
        <v>5.64182408335899E-2</v>
      </c>
      <c r="J87" s="227">
        <v>5.8545574179014404E-2</v>
      </c>
      <c r="L87" s="273">
        <v>1</v>
      </c>
      <c r="M87" s="274"/>
      <c r="N87" s="273">
        <v>1</v>
      </c>
      <c r="O87" s="273">
        <v>1</v>
      </c>
      <c r="P87" s="273">
        <v>1</v>
      </c>
      <c r="Q87" s="273">
        <v>1</v>
      </c>
      <c r="R87" s="273">
        <v>1</v>
      </c>
      <c r="S87" s="273">
        <v>1</v>
      </c>
      <c r="T87" s="273">
        <v>1</v>
      </c>
      <c r="U87" s="2"/>
    </row>
    <row r="88" spans="1:21">
      <c r="A88" s="248">
        <f t="shared" si="3"/>
        <v>7</v>
      </c>
      <c r="B88" s="253">
        <v>4.5512648303280591E-2</v>
      </c>
      <c r="C88" s="263"/>
      <c r="D88" s="161">
        <v>4.9450797867798837E-2</v>
      </c>
      <c r="E88" s="161">
        <v>5.0309029199754857E-2</v>
      </c>
      <c r="F88" s="210">
        <v>5.1189185666378263E-2</v>
      </c>
      <c r="G88" s="210">
        <v>5.2190950284624782E-2</v>
      </c>
      <c r="H88" s="210">
        <v>5.4299929311357534E-2</v>
      </c>
      <c r="I88" s="210">
        <v>5.64182408335899E-2</v>
      </c>
      <c r="J88" s="227">
        <v>5.8545574179014404E-2</v>
      </c>
      <c r="L88" s="273">
        <v>1</v>
      </c>
      <c r="M88" s="274"/>
      <c r="N88" s="273">
        <v>1</v>
      </c>
      <c r="O88" s="273">
        <v>1</v>
      </c>
      <c r="P88" s="273">
        <v>1</v>
      </c>
      <c r="Q88" s="273">
        <v>1</v>
      </c>
      <c r="R88" s="273">
        <v>1</v>
      </c>
      <c r="S88" s="273">
        <v>1</v>
      </c>
      <c r="T88" s="273">
        <v>1</v>
      </c>
      <c r="U88" s="2"/>
    </row>
    <row r="89" spans="1:21">
      <c r="A89" s="248">
        <f t="shared" si="3"/>
        <v>8</v>
      </c>
      <c r="B89" s="253">
        <v>4.5512648303280591E-2</v>
      </c>
      <c r="C89" s="263"/>
      <c r="D89" s="161">
        <v>4.9450797867798837E-2</v>
      </c>
      <c r="E89" s="161">
        <v>5.0309029199754857E-2</v>
      </c>
      <c r="F89" s="210">
        <v>5.1189185666378263E-2</v>
      </c>
      <c r="G89" s="210">
        <v>5.2190950284624782E-2</v>
      </c>
      <c r="H89" s="210">
        <v>5.4299929311357534E-2</v>
      </c>
      <c r="I89" s="210">
        <v>5.64182408335899E-2</v>
      </c>
      <c r="J89" s="227">
        <v>5.8545574179014404E-2</v>
      </c>
      <c r="L89" s="273">
        <v>1</v>
      </c>
      <c r="M89" s="274"/>
      <c r="N89" s="273">
        <v>1</v>
      </c>
      <c r="O89" s="273">
        <v>1</v>
      </c>
      <c r="P89" s="273">
        <v>1</v>
      </c>
      <c r="Q89" s="273">
        <v>1</v>
      </c>
      <c r="R89" s="273">
        <v>1</v>
      </c>
      <c r="S89" s="273">
        <v>1</v>
      </c>
      <c r="T89" s="273">
        <v>1</v>
      </c>
      <c r="U89" s="2"/>
    </row>
    <row r="90" spans="1:21">
      <c r="A90" s="248">
        <f t="shared" si="3"/>
        <v>9</v>
      </c>
      <c r="B90" s="253">
        <v>4.4591017175139157E-2</v>
      </c>
      <c r="C90" s="263"/>
      <c r="D90" s="161">
        <v>4.8449419210975904E-2</v>
      </c>
      <c r="E90" s="161">
        <v>4.9290271358459821E-2</v>
      </c>
      <c r="F90" s="210">
        <v>5.0152604656634105E-2</v>
      </c>
      <c r="G90" s="210">
        <v>5.1134083541361126E-2</v>
      </c>
      <c r="H90" s="210">
        <v>5.3200355742802539E-2</v>
      </c>
      <c r="I90" s="210">
        <v>5.5275771456709692E-2</v>
      </c>
      <c r="J90" s="227">
        <v>5.7360026301889362E-2</v>
      </c>
      <c r="L90" s="273">
        <v>0.97975000000000001</v>
      </c>
      <c r="M90" s="274"/>
      <c r="N90" s="273">
        <v>0.97974999999999979</v>
      </c>
      <c r="O90" s="273">
        <v>0.97975000000000012</v>
      </c>
      <c r="P90" s="273">
        <v>0.97975000000000001</v>
      </c>
      <c r="Q90" s="273">
        <v>0.97975000000000001</v>
      </c>
      <c r="R90" s="273">
        <v>0.97975000000000012</v>
      </c>
      <c r="S90" s="273">
        <v>0.97975000000000012</v>
      </c>
      <c r="T90" s="273">
        <v>0.9797499999999999</v>
      </c>
      <c r="U90" s="2"/>
    </row>
    <row r="91" spans="1:21">
      <c r="A91" s="248">
        <f t="shared" si="3"/>
        <v>10</v>
      </c>
      <c r="B91" s="253">
        <v>4.1621316873350106E-2</v>
      </c>
      <c r="C91" s="263"/>
      <c r="D91" s="161">
        <v>4.5222754650102032E-2</v>
      </c>
      <c r="E91" s="161">
        <v>4.6007607203175815E-2</v>
      </c>
      <c r="F91" s="210">
        <v>4.681251029190292E-2</v>
      </c>
      <c r="G91" s="210">
        <v>4.7728624035289359E-2</v>
      </c>
      <c r="H91" s="210">
        <v>4.9657285355236461E-2</v>
      </c>
      <c r="I91" s="210">
        <v>5.1594481242317955E-2</v>
      </c>
      <c r="J91" s="227">
        <v>5.3539927586708669E-2</v>
      </c>
      <c r="L91" s="273">
        <v>0.91449999999999998</v>
      </c>
      <c r="M91" s="274"/>
      <c r="N91" s="273">
        <v>0.91449999999999987</v>
      </c>
      <c r="O91" s="273">
        <v>0.91450000000000009</v>
      </c>
      <c r="P91" s="273">
        <v>0.91449999999999998</v>
      </c>
      <c r="Q91" s="273">
        <v>0.91449999999999987</v>
      </c>
      <c r="R91" s="273">
        <v>0.91449999999999998</v>
      </c>
      <c r="S91" s="273">
        <v>0.91449999999999998</v>
      </c>
      <c r="T91" s="273">
        <v>0.91449999999999998</v>
      </c>
      <c r="U91" s="2"/>
    </row>
    <row r="92" spans="1:21">
      <c r="A92" s="248">
        <f t="shared" si="3"/>
        <v>11</v>
      </c>
      <c r="B92" s="253">
        <v>3.5016293788336497E-2</v>
      </c>
      <c r="C92" s="263"/>
      <c r="D92" s="161">
        <v>3.8046207609537724E-2</v>
      </c>
      <c r="E92" s="161">
        <v>3.8706509340561385E-2</v>
      </c>
      <c r="F92" s="210">
        <v>3.938367972206977E-2</v>
      </c>
      <c r="G92" s="210">
        <v>4.0154412375233185E-2</v>
      </c>
      <c r="H92" s="210">
        <v>4.17770081139257E-2</v>
      </c>
      <c r="I92" s="210">
        <v>4.3406784041343217E-2</v>
      </c>
      <c r="J92" s="227">
        <v>4.5043501133979195E-2</v>
      </c>
      <c r="L92" s="273">
        <v>0.76937499999999992</v>
      </c>
      <c r="M92" s="274"/>
      <c r="N92" s="273">
        <v>0.76937499999999981</v>
      </c>
      <c r="O92" s="273">
        <v>0.76937499999999992</v>
      </c>
      <c r="P92" s="273">
        <v>0.76937500000000003</v>
      </c>
      <c r="Q92" s="273">
        <v>0.76937499999999981</v>
      </c>
      <c r="R92" s="273">
        <v>0.76937499999999992</v>
      </c>
      <c r="S92" s="273">
        <v>0.76937499999999992</v>
      </c>
      <c r="T92" s="273">
        <v>0.76937499999999981</v>
      </c>
      <c r="U92" s="2"/>
    </row>
    <row r="93" spans="1:21">
      <c r="A93" s="248">
        <f t="shared" si="3"/>
        <v>12</v>
      </c>
      <c r="B93" s="253">
        <v>2.4673544461415994E-2</v>
      </c>
      <c r="C93" s="263"/>
      <c r="D93" s="161">
        <v>2.6808513794080439E-2</v>
      </c>
      <c r="E93" s="161">
        <v>2.7273782454917093E-2</v>
      </c>
      <c r="F93" s="210">
        <v>2.7750937279385317E-2</v>
      </c>
      <c r="G93" s="210">
        <v>2.8294018923052208E-2</v>
      </c>
      <c r="H93" s="210">
        <v>2.9437349177919701E-2</v>
      </c>
      <c r="I93" s="210">
        <v>3.0585738811909922E-2</v>
      </c>
      <c r="J93" s="227">
        <v>3.1739019401798185E-2</v>
      </c>
      <c r="L93" s="273">
        <v>0.54212499999999997</v>
      </c>
      <c r="M93" s="274"/>
      <c r="N93" s="273">
        <v>0.54212499999999997</v>
      </c>
      <c r="O93" s="273">
        <v>0.54212499999999997</v>
      </c>
      <c r="P93" s="273">
        <v>0.54212500000000008</v>
      </c>
      <c r="Q93" s="273">
        <v>0.54212499999999997</v>
      </c>
      <c r="R93" s="273">
        <v>0.54212499999999997</v>
      </c>
      <c r="S93" s="273">
        <v>0.54212499999999997</v>
      </c>
      <c r="T93" s="273">
        <v>0.54212499999999997</v>
      </c>
      <c r="U93" s="2"/>
    </row>
    <row r="94" spans="1:21">
      <c r="A94" s="248">
        <f t="shared" si="3"/>
        <v>13</v>
      </c>
      <c r="B94" s="253">
        <v>1.4945215886589763E-2</v>
      </c>
      <c r="C94" s="263"/>
      <c r="D94" s="161">
        <v>1.6238405749838439E-2</v>
      </c>
      <c r="E94" s="161">
        <v>1.6520227463469497E-2</v>
      </c>
      <c r="F94" s="210">
        <v>1.6809248843196959E-2</v>
      </c>
      <c r="G94" s="210">
        <v>1.7138203299713658E-2</v>
      </c>
      <c r="H94" s="210">
        <v>1.7830739287617029E-2</v>
      </c>
      <c r="I94" s="210">
        <v>1.8526339833730084E-2</v>
      </c>
      <c r="J94" s="227">
        <v>1.9224902921033852E-2</v>
      </c>
      <c r="L94" s="273">
        <v>0.32837499999999997</v>
      </c>
      <c r="M94" s="274"/>
      <c r="N94" s="273">
        <v>0.32837499999999992</v>
      </c>
      <c r="O94" s="273">
        <v>0.32837499999999997</v>
      </c>
      <c r="P94" s="273">
        <v>0.32837499999999997</v>
      </c>
      <c r="Q94" s="273">
        <v>0.32837499999999997</v>
      </c>
      <c r="R94" s="273">
        <v>0.32837499999999997</v>
      </c>
      <c r="S94" s="273">
        <v>0.32837499999999997</v>
      </c>
      <c r="T94" s="273">
        <v>0.32837499999999997</v>
      </c>
      <c r="U94" s="2"/>
    </row>
    <row r="95" spans="1:21">
      <c r="A95" s="248">
        <f t="shared" si="3"/>
        <v>14</v>
      </c>
      <c r="B95" s="253">
        <v>7.7769737788230689E-3</v>
      </c>
      <c r="C95" s="263"/>
      <c r="D95" s="161">
        <v>8.4499050856601237E-3</v>
      </c>
      <c r="E95" s="161">
        <v>8.5965553645081065E-3</v>
      </c>
      <c r="F95" s="210">
        <v>8.7469521007423837E-3</v>
      </c>
      <c r="G95" s="210">
        <v>8.9181286298852559E-3</v>
      </c>
      <c r="H95" s="210">
        <v>9.278500421078216E-3</v>
      </c>
      <c r="I95" s="210">
        <v>9.6404669024396684E-3</v>
      </c>
      <c r="J95" s="227">
        <v>1.0003974987839084E-2</v>
      </c>
      <c r="L95" s="273">
        <v>0.17087499999999994</v>
      </c>
      <c r="M95" s="274"/>
      <c r="N95" s="273">
        <v>0.17087499999999992</v>
      </c>
      <c r="O95" s="273">
        <v>0.17087499999999994</v>
      </c>
      <c r="P95" s="273">
        <v>0.17087499999999997</v>
      </c>
      <c r="Q95" s="273">
        <v>0.17087499999999994</v>
      </c>
      <c r="R95" s="273">
        <v>0.17087499999999997</v>
      </c>
      <c r="S95" s="273">
        <v>0.17087499999999994</v>
      </c>
      <c r="T95" s="273">
        <v>0.17087499999999994</v>
      </c>
      <c r="U95" s="2"/>
    </row>
    <row r="96" spans="1:21">
      <c r="A96" s="248">
        <f t="shared" si="3"/>
        <v>15</v>
      </c>
      <c r="B96" s="253">
        <v>6.2215790230584558E-3</v>
      </c>
      <c r="C96" s="263"/>
      <c r="D96" s="161">
        <v>6.7599240685280995E-3</v>
      </c>
      <c r="E96" s="161">
        <v>6.8772442916064857E-3</v>
      </c>
      <c r="F96" s="210">
        <v>6.952145543915403E-3</v>
      </c>
      <c r="G96" s="210">
        <v>7.0890867672297004E-3</v>
      </c>
      <c r="H96" s="210">
        <v>7.3773842001840671E-3</v>
      </c>
      <c r="I96" s="210">
        <v>7.666957385273232E-3</v>
      </c>
      <c r="J96" s="227">
        <v>8.008707385273232E-3</v>
      </c>
      <c r="L96" s="273">
        <v>0.13669999999999996</v>
      </c>
      <c r="M96" s="274"/>
      <c r="N96" s="273">
        <v>0.13669999999999996</v>
      </c>
      <c r="O96" s="273">
        <v>0.13669999999999996</v>
      </c>
      <c r="P96" s="273">
        <v>0.13669999999999999</v>
      </c>
      <c r="Q96" s="273">
        <v>0.13669999999999996</v>
      </c>
      <c r="R96" s="273">
        <v>0.13669999999999996</v>
      </c>
      <c r="S96" s="273">
        <v>0.13669999999999996</v>
      </c>
      <c r="T96" s="273">
        <v>0.13669999999999996</v>
      </c>
      <c r="U96" s="2"/>
    </row>
    <row r="97" spans="1:21">
      <c r="A97" s="248">
        <f t="shared" si="3"/>
        <v>16</v>
      </c>
      <c r="B97" s="253">
        <v>4.977263218446765E-3</v>
      </c>
      <c r="C97" s="263"/>
      <c r="D97" s="161">
        <v>5.4079392548224796E-3</v>
      </c>
      <c r="E97" s="161">
        <v>5.5017954332851893E-3</v>
      </c>
      <c r="F97" s="210">
        <v>5.601716435132323E-3</v>
      </c>
      <c r="G97" s="210">
        <v>5.7112694137837604E-3</v>
      </c>
      <c r="H97" s="210">
        <v>5.9419073601472538E-3</v>
      </c>
      <c r="I97" s="210">
        <v>6.1735659082185861E-3</v>
      </c>
      <c r="J97" s="227">
        <v>6.4469659082185852E-3</v>
      </c>
      <c r="L97" s="273">
        <v>0.10935999999999997</v>
      </c>
      <c r="M97" s="274"/>
      <c r="N97" s="273">
        <v>0.10935999999999996</v>
      </c>
      <c r="O97" s="273">
        <v>0.10935999999999998</v>
      </c>
      <c r="P97" s="273">
        <v>0.10935999999999998</v>
      </c>
      <c r="Q97" s="273">
        <v>0.10935999999999997</v>
      </c>
      <c r="R97" s="273">
        <v>0.10935999999999998</v>
      </c>
      <c r="S97" s="273">
        <v>0.10935999999999997</v>
      </c>
      <c r="T97" s="273">
        <v>0.10935999999999996</v>
      </c>
      <c r="U97" s="2"/>
    </row>
    <row r="98" spans="1:21">
      <c r="A98" s="248">
        <f t="shared" si="3"/>
        <v>17</v>
      </c>
      <c r="B98" s="253">
        <v>3.9818105747574124E-3</v>
      </c>
      <c r="C98" s="263"/>
      <c r="D98" s="161">
        <v>4.3263514038579835E-3</v>
      </c>
      <c r="E98" s="161">
        <v>4.4014363466281514E-3</v>
      </c>
      <c r="F98" s="210">
        <v>4.5213731481058587E-3</v>
      </c>
      <c r="G98" s="210">
        <v>4.6090155310270081E-3</v>
      </c>
      <c r="H98" s="210">
        <v>4.7935258881178031E-3</v>
      </c>
      <c r="I98" s="210">
        <v>4.9788527265748695E-3</v>
      </c>
      <c r="J98" s="227">
        <v>5.1975727265748681E-3</v>
      </c>
      <c r="L98" s="273">
        <v>8.7487999999999982E-2</v>
      </c>
      <c r="M98" s="274"/>
      <c r="N98" s="273">
        <v>8.7487999999999969E-2</v>
      </c>
      <c r="O98" s="273">
        <v>8.7487999999999996E-2</v>
      </c>
      <c r="P98" s="273">
        <v>8.7487999999999996E-2</v>
      </c>
      <c r="Q98" s="273">
        <v>8.7487999999999996E-2</v>
      </c>
      <c r="R98" s="273">
        <v>8.7487999999999982E-2</v>
      </c>
      <c r="S98" s="273">
        <v>8.7487999999999996E-2</v>
      </c>
      <c r="T98" s="273">
        <v>8.7487999999999969E-2</v>
      </c>
      <c r="U98" s="2"/>
    </row>
    <row r="99" spans="1:21">
      <c r="A99" s="248">
        <f t="shared" si="3"/>
        <v>18</v>
      </c>
      <c r="B99" s="253">
        <v>3.1854484598059299E-3</v>
      </c>
      <c r="C99" s="263"/>
      <c r="D99" s="161">
        <v>3.461081123086387E-3</v>
      </c>
      <c r="E99" s="161">
        <v>3.5211490773025215E-3</v>
      </c>
      <c r="F99" s="210">
        <v>3.5570985184846873E-3</v>
      </c>
      <c r="G99" s="210">
        <v>3.6272124248216066E-3</v>
      </c>
      <c r="H99" s="210">
        <v>3.7748207104942428E-3</v>
      </c>
      <c r="I99" s="210">
        <v>3.9230821812598965E-3</v>
      </c>
      <c r="J99" s="227">
        <v>4.098058181259895E-3</v>
      </c>
      <c r="L99" s="273">
        <v>6.9990399999999994E-2</v>
      </c>
      <c r="M99" s="274"/>
      <c r="N99" s="273">
        <v>6.999039999999998E-2</v>
      </c>
      <c r="O99" s="273">
        <v>6.9990399999999994E-2</v>
      </c>
      <c r="P99" s="273">
        <v>6.9990399999999994E-2</v>
      </c>
      <c r="Q99" s="273">
        <v>6.9990399999999994E-2</v>
      </c>
      <c r="R99" s="273">
        <v>6.9990399999999994E-2</v>
      </c>
      <c r="S99" s="273">
        <v>6.9990400000000008E-2</v>
      </c>
      <c r="T99" s="273">
        <v>6.999039999999998E-2</v>
      </c>
      <c r="U99" s="2"/>
    </row>
    <row r="100" spans="1:21">
      <c r="A100" s="248">
        <f t="shared" si="3"/>
        <v>19</v>
      </c>
      <c r="B100" s="253">
        <v>2.5483587678447441E-3</v>
      </c>
      <c r="C100" s="263"/>
      <c r="D100" s="161">
        <v>2.7688648984691097E-3</v>
      </c>
      <c r="E100" s="161">
        <v>2.8169192618420174E-3</v>
      </c>
      <c r="F100" s="210">
        <v>2.8656788147877498E-3</v>
      </c>
      <c r="G100" s="210">
        <v>2.9217699398572856E-3</v>
      </c>
      <c r="H100" s="210">
        <v>3.0398565683953942E-3</v>
      </c>
      <c r="I100" s="210">
        <v>3.158465745007917E-3</v>
      </c>
      <c r="J100" s="227">
        <v>3.298446545007916E-3</v>
      </c>
      <c r="L100" s="273">
        <v>5.5992319999999991E-2</v>
      </c>
      <c r="M100" s="274"/>
      <c r="N100" s="273">
        <v>5.5992319999999998E-2</v>
      </c>
      <c r="O100" s="273">
        <v>5.5992320000000005E-2</v>
      </c>
      <c r="P100" s="273">
        <v>5.5992320000000005E-2</v>
      </c>
      <c r="Q100" s="273">
        <v>5.5992319999999991E-2</v>
      </c>
      <c r="R100" s="273">
        <v>5.5992319999999998E-2</v>
      </c>
      <c r="S100" s="273">
        <v>5.5992319999999998E-2</v>
      </c>
      <c r="T100" s="273">
        <v>5.5992319999999984E-2</v>
      </c>
      <c r="U100" s="2"/>
    </row>
    <row r="101" spans="1:21">
      <c r="A101" s="246">
        <f t="shared" si="3"/>
        <v>20</v>
      </c>
      <c r="B101" s="254">
        <v>2.0386870142757954E-3</v>
      </c>
      <c r="C101" s="264"/>
      <c r="D101" s="225">
        <v>2.2150919187752878E-3</v>
      </c>
      <c r="E101" s="225">
        <v>2.253535409473614E-3</v>
      </c>
      <c r="F101" s="233">
        <v>2.3125430518302001E-3</v>
      </c>
      <c r="G101" s="233">
        <v>2.3574159518858287E-3</v>
      </c>
      <c r="H101" s="233">
        <v>2.4518852547163153E-3</v>
      </c>
      <c r="I101" s="233">
        <v>2.5467725960063338E-3</v>
      </c>
      <c r="J101" s="234">
        <v>2.6587572360063328E-3</v>
      </c>
      <c r="L101" s="273">
        <v>4.4793856E-2</v>
      </c>
      <c r="M101" s="274"/>
      <c r="N101" s="273">
        <v>4.4793855999999993E-2</v>
      </c>
      <c r="O101" s="273">
        <v>4.4793856E-2</v>
      </c>
      <c r="P101" s="273">
        <v>4.4793856000000007E-2</v>
      </c>
      <c r="Q101" s="273">
        <v>4.4793856E-2</v>
      </c>
      <c r="R101" s="273">
        <v>4.4793856E-2</v>
      </c>
      <c r="S101" s="273">
        <v>4.4793855999999993E-2</v>
      </c>
      <c r="T101" s="273">
        <v>4.4793855999999993E-2</v>
      </c>
      <c r="U101" s="2"/>
    </row>
    <row r="104" spans="1:21" ht="15">
      <c r="A104" s="245" t="s">
        <v>98</v>
      </c>
      <c r="B104" s="278">
        <v>8.0000000000000002E-3</v>
      </c>
      <c r="C104" s="279"/>
      <c r="D104" s="279"/>
      <c r="E104" s="279"/>
      <c r="F104" s="279"/>
      <c r="G104" s="279"/>
      <c r="H104" s="279"/>
      <c r="I104" s="279"/>
      <c r="J104" s="280"/>
      <c r="L104" s="278">
        <v>8.0000000000000002E-3</v>
      </c>
      <c r="M104" s="279"/>
      <c r="N104" s="279"/>
      <c r="O104" s="279"/>
      <c r="P104" s="279"/>
      <c r="Q104" s="279"/>
      <c r="R104" s="279"/>
      <c r="S104" s="279"/>
      <c r="T104" s="280"/>
    </row>
    <row r="105" spans="1:21" ht="15">
      <c r="A105" s="246" t="s">
        <v>99</v>
      </c>
      <c r="B105" s="256">
        <v>0</v>
      </c>
      <c r="C105" s="259"/>
      <c r="D105" s="252">
        <v>1.2500000000000001E-2</v>
      </c>
      <c r="E105" s="251">
        <v>1.4999999999999999E-2</v>
      </c>
      <c r="F105" s="251">
        <v>1.7500000000000002E-2</v>
      </c>
      <c r="G105" s="251">
        <v>0.02</v>
      </c>
      <c r="H105" s="251">
        <v>2.2499999999999999E-2</v>
      </c>
      <c r="I105" s="251">
        <v>2.5000000000000001E-2</v>
      </c>
      <c r="J105" s="255">
        <v>2.75E-2</v>
      </c>
      <c r="L105" s="256">
        <v>0</v>
      </c>
      <c r="M105" s="259"/>
      <c r="N105" s="257">
        <v>1.2500000000000001E-2</v>
      </c>
      <c r="O105" s="257">
        <v>1.4999999999999999E-2</v>
      </c>
      <c r="P105" s="257">
        <v>1.7500000000000002E-2</v>
      </c>
      <c r="Q105" s="257">
        <v>0.02</v>
      </c>
      <c r="R105" s="257">
        <v>2.2499999999999999E-2</v>
      </c>
      <c r="S105" s="257">
        <v>2.5000000000000001E-2</v>
      </c>
      <c r="T105" s="258">
        <v>2.75E-2</v>
      </c>
    </row>
    <row r="106" spans="1:21">
      <c r="A106" s="247">
        <v>1</v>
      </c>
      <c r="B106" s="269">
        <v>9.6600000000000002E-3</v>
      </c>
      <c r="C106" s="262"/>
      <c r="D106" s="223">
        <v>1.091E-2</v>
      </c>
      <c r="E106" s="223">
        <v>1.116E-2</v>
      </c>
      <c r="F106" s="163">
        <v>1.141E-2</v>
      </c>
      <c r="G106" s="163">
        <v>1.166E-2</v>
      </c>
      <c r="H106" s="163">
        <v>1.191E-2</v>
      </c>
      <c r="I106" s="163">
        <v>1.2160000000000001E-2</v>
      </c>
      <c r="J106" s="232">
        <v>1.2410000000000001E-2</v>
      </c>
      <c r="L106" s="273">
        <v>1</v>
      </c>
      <c r="M106" s="274"/>
      <c r="N106" s="273">
        <v>0.45121951219512202</v>
      </c>
      <c r="O106" s="273">
        <v>0.41304347826086957</v>
      </c>
      <c r="P106" s="273">
        <v>0.38235294117647056</v>
      </c>
      <c r="Q106" s="273">
        <v>0.35714285714285715</v>
      </c>
      <c r="R106" s="273">
        <v>0.33606557377049184</v>
      </c>
      <c r="S106" s="273">
        <v>0.31818181818181818</v>
      </c>
      <c r="T106" s="273">
        <v>0.30281690140845069</v>
      </c>
      <c r="U106" s="2"/>
    </row>
    <row r="107" spans="1:21">
      <c r="A107" s="248">
        <f>A106+1</f>
        <v>2</v>
      </c>
      <c r="B107" s="253">
        <v>9.9799999999999993E-3</v>
      </c>
      <c r="C107" s="263"/>
      <c r="D107" s="161">
        <v>1.3730000000000001E-2</v>
      </c>
      <c r="E107" s="161">
        <v>1.448E-2</v>
      </c>
      <c r="F107" s="210">
        <v>1.523E-2</v>
      </c>
      <c r="G107" s="210">
        <v>1.5980000000000001E-2</v>
      </c>
      <c r="H107" s="210">
        <v>1.6730000000000002E-2</v>
      </c>
      <c r="I107" s="210">
        <v>1.7480000000000002E-2</v>
      </c>
      <c r="J107" s="227">
        <v>1.8230000000000003E-2</v>
      </c>
      <c r="L107" s="273">
        <v>1</v>
      </c>
      <c r="M107" s="274"/>
      <c r="N107" s="273">
        <v>0.57317073170731703</v>
      </c>
      <c r="O107" s="273">
        <v>0.5434782608695653</v>
      </c>
      <c r="P107" s="273">
        <v>0.51960784313725494</v>
      </c>
      <c r="Q107" s="273">
        <v>0.50000000000000011</v>
      </c>
      <c r="R107" s="273">
        <v>0.48360655737704922</v>
      </c>
      <c r="S107" s="273">
        <v>0.46969696969696972</v>
      </c>
      <c r="T107" s="273">
        <v>0.45774647887323938</v>
      </c>
      <c r="U107" s="2"/>
    </row>
    <row r="108" spans="1:21">
      <c r="A108" s="248">
        <f t="shared" ref="A108:A125" si="4">A107+1</f>
        <v>3</v>
      </c>
      <c r="B108" s="253">
        <v>1.0540000000000001E-2</v>
      </c>
      <c r="C108" s="263"/>
      <c r="D108" s="161">
        <v>1.8665000000000001E-2</v>
      </c>
      <c r="E108" s="161">
        <v>2.0290000000000002E-2</v>
      </c>
      <c r="F108" s="210">
        <v>2.1915000000000004E-2</v>
      </c>
      <c r="G108" s="210">
        <v>2.3539999999999998E-2</v>
      </c>
      <c r="H108" s="210">
        <v>2.5165E-2</v>
      </c>
      <c r="I108" s="210">
        <v>2.6790000000000001E-2</v>
      </c>
      <c r="J108" s="227">
        <v>2.8415000000000003E-2</v>
      </c>
      <c r="L108" s="273">
        <v>1</v>
      </c>
      <c r="M108" s="274"/>
      <c r="N108" s="273">
        <v>0.78658536585365857</v>
      </c>
      <c r="O108" s="273">
        <v>0.77173913043478271</v>
      </c>
      <c r="P108" s="273">
        <v>0.75980392156862753</v>
      </c>
      <c r="Q108" s="273">
        <v>0.75</v>
      </c>
      <c r="R108" s="273">
        <v>0.74180327868852458</v>
      </c>
      <c r="S108" s="273">
        <v>0.73484848484848486</v>
      </c>
      <c r="T108" s="273">
        <v>0.72887323943661975</v>
      </c>
      <c r="U108" s="2"/>
    </row>
    <row r="109" spans="1:21">
      <c r="A109" s="248">
        <f t="shared" si="4"/>
        <v>4</v>
      </c>
      <c r="B109" s="253">
        <v>1.7283746567471885E-2</v>
      </c>
      <c r="C109" s="263"/>
      <c r="D109" s="161">
        <v>2.9783746567471885E-2</v>
      </c>
      <c r="E109" s="161">
        <v>3.2283746567471877E-2</v>
      </c>
      <c r="F109" s="210">
        <v>3.4783746567471879E-2</v>
      </c>
      <c r="G109" s="210">
        <v>3.7283746567471882E-2</v>
      </c>
      <c r="H109" s="210">
        <v>3.9783746567471884E-2</v>
      </c>
      <c r="I109" s="210">
        <v>4.2283746567471886E-2</v>
      </c>
      <c r="J109" s="227">
        <v>4.4783746567471888E-2</v>
      </c>
      <c r="L109" s="273">
        <v>1</v>
      </c>
      <c r="M109" s="274"/>
      <c r="N109" s="273">
        <v>1</v>
      </c>
      <c r="O109" s="273">
        <v>1</v>
      </c>
      <c r="P109" s="273">
        <v>1</v>
      </c>
      <c r="Q109" s="273">
        <v>1</v>
      </c>
      <c r="R109" s="273">
        <v>1</v>
      </c>
      <c r="S109" s="273">
        <v>1</v>
      </c>
      <c r="T109" s="273">
        <v>1</v>
      </c>
      <c r="U109" s="2"/>
    </row>
    <row r="110" spans="1:21">
      <c r="A110" s="248">
        <f t="shared" si="4"/>
        <v>5</v>
      </c>
      <c r="B110" s="253">
        <v>4.7315251438228303E-2</v>
      </c>
      <c r="C110" s="263"/>
      <c r="D110" s="161">
        <v>5.1253401002746557E-2</v>
      </c>
      <c r="E110" s="161">
        <v>5.2111632334702576E-2</v>
      </c>
      <c r="F110" s="210">
        <v>5.2991788801325976E-2</v>
      </c>
      <c r="G110" s="210">
        <v>5.3993553419572501E-2</v>
      </c>
      <c r="H110" s="210">
        <v>5.6102532446305253E-2</v>
      </c>
      <c r="I110" s="210">
        <v>5.8220843968537619E-2</v>
      </c>
      <c r="J110" s="227">
        <v>6.0348177313962123E-2</v>
      </c>
      <c r="L110" s="273">
        <v>1</v>
      </c>
      <c r="M110" s="274"/>
      <c r="N110" s="273">
        <v>1</v>
      </c>
      <c r="O110" s="273">
        <v>1</v>
      </c>
      <c r="P110" s="273">
        <v>1</v>
      </c>
      <c r="Q110" s="273">
        <v>1</v>
      </c>
      <c r="R110" s="273">
        <v>1</v>
      </c>
      <c r="S110" s="273">
        <v>1</v>
      </c>
      <c r="T110" s="273">
        <v>1</v>
      </c>
      <c r="U110" s="2"/>
    </row>
    <row r="111" spans="1:21">
      <c r="A111" s="248">
        <f t="shared" si="4"/>
        <v>6</v>
      </c>
      <c r="B111" s="253">
        <v>4.7315251438228303E-2</v>
      </c>
      <c r="C111" s="263"/>
      <c r="D111" s="161">
        <v>5.1253401002746557E-2</v>
      </c>
      <c r="E111" s="161">
        <v>5.2111632334702576E-2</v>
      </c>
      <c r="F111" s="210">
        <v>5.2991788801325976E-2</v>
      </c>
      <c r="G111" s="210">
        <v>5.3993553419572501E-2</v>
      </c>
      <c r="H111" s="210">
        <v>5.6102532446305253E-2</v>
      </c>
      <c r="I111" s="210">
        <v>5.8220843968537619E-2</v>
      </c>
      <c r="J111" s="227">
        <v>6.0348177313962123E-2</v>
      </c>
      <c r="L111" s="273">
        <v>1</v>
      </c>
      <c r="M111" s="274"/>
      <c r="N111" s="273">
        <v>1</v>
      </c>
      <c r="O111" s="273">
        <v>1</v>
      </c>
      <c r="P111" s="273">
        <v>1</v>
      </c>
      <c r="Q111" s="273">
        <v>1</v>
      </c>
      <c r="R111" s="273">
        <v>1</v>
      </c>
      <c r="S111" s="273">
        <v>1</v>
      </c>
      <c r="T111" s="273">
        <v>1</v>
      </c>
      <c r="U111" s="2"/>
    </row>
    <row r="112" spans="1:21">
      <c r="A112" s="248">
        <f t="shared" si="4"/>
        <v>7</v>
      </c>
      <c r="B112" s="253">
        <v>4.7315251438228303E-2</v>
      </c>
      <c r="C112" s="263"/>
      <c r="D112" s="161">
        <v>5.1253401002746557E-2</v>
      </c>
      <c r="E112" s="161">
        <v>5.2111632334702576E-2</v>
      </c>
      <c r="F112" s="210">
        <v>5.2991788801325976E-2</v>
      </c>
      <c r="G112" s="210">
        <v>5.3993553419572501E-2</v>
      </c>
      <c r="H112" s="210">
        <v>5.6102532446305253E-2</v>
      </c>
      <c r="I112" s="210">
        <v>5.8220843968537619E-2</v>
      </c>
      <c r="J112" s="227">
        <v>6.0348177313962123E-2</v>
      </c>
      <c r="L112" s="273">
        <v>1</v>
      </c>
      <c r="M112" s="274"/>
      <c r="N112" s="273">
        <v>1</v>
      </c>
      <c r="O112" s="273">
        <v>1</v>
      </c>
      <c r="P112" s="273">
        <v>1</v>
      </c>
      <c r="Q112" s="273">
        <v>1</v>
      </c>
      <c r="R112" s="273">
        <v>1</v>
      </c>
      <c r="S112" s="273">
        <v>1</v>
      </c>
      <c r="T112" s="273">
        <v>1</v>
      </c>
      <c r="U112" s="2"/>
    </row>
    <row r="113" spans="1:21">
      <c r="A113" s="248">
        <f t="shared" si="4"/>
        <v>8</v>
      </c>
      <c r="B113" s="253">
        <v>4.7315251438228303E-2</v>
      </c>
      <c r="C113" s="263"/>
      <c r="D113" s="161">
        <v>5.1253401002746557E-2</v>
      </c>
      <c r="E113" s="161">
        <v>5.2111632334702576E-2</v>
      </c>
      <c r="F113" s="210">
        <v>5.2991788801325976E-2</v>
      </c>
      <c r="G113" s="210">
        <v>5.3993553419572501E-2</v>
      </c>
      <c r="H113" s="210">
        <v>5.6102532446305253E-2</v>
      </c>
      <c r="I113" s="210">
        <v>5.8220843968537619E-2</v>
      </c>
      <c r="J113" s="227">
        <v>6.0348177313962123E-2</v>
      </c>
      <c r="L113" s="273">
        <v>1</v>
      </c>
      <c r="M113" s="274"/>
      <c r="N113" s="273">
        <v>1</v>
      </c>
      <c r="O113" s="273">
        <v>1</v>
      </c>
      <c r="P113" s="273">
        <v>1</v>
      </c>
      <c r="Q113" s="273">
        <v>1</v>
      </c>
      <c r="R113" s="273">
        <v>1</v>
      </c>
      <c r="S113" s="273">
        <v>1</v>
      </c>
      <c r="T113" s="273">
        <v>1</v>
      </c>
      <c r="U113" s="2"/>
    </row>
    <row r="114" spans="1:21">
      <c r="A114" s="248">
        <f t="shared" si="4"/>
        <v>9</v>
      </c>
      <c r="B114" s="253">
        <v>4.6357117596604186E-2</v>
      </c>
      <c r="C114" s="263"/>
      <c r="D114" s="161">
        <v>5.0215519632440933E-2</v>
      </c>
      <c r="E114" s="161">
        <v>5.1056371779924843E-2</v>
      </c>
      <c r="F114" s="210">
        <v>5.1918705078099127E-2</v>
      </c>
      <c r="G114" s="210">
        <v>5.2900183962826156E-2</v>
      </c>
      <c r="H114" s="210">
        <v>5.4966456164267569E-2</v>
      </c>
      <c r="I114" s="210">
        <v>5.7041871878174721E-2</v>
      </c>
      <c r="J114" s="227">
        <v>5.9126126723354384E-2</v>
      </c>
      <c r="L114" s="273">
        <v>0.9797499999999999</v>
      </c>
      <c r="M114" s="274"/>
      <c r="N114" s="273">
        <v>0.97975000000000001</v>
      </c>
      <c r="O114" s="273">
        <v>0.97975000000000001</v>
      </c>
      <c r="P114" s="273">
        <v>0.97975000000000001</v>
      </c>
      <c r="Q114" s="273">
        <v>0.9797499999999999</v>
      </c>
      <c r="R114" s="273">
        <v>0.9797499999999999</v>
      </c>
      <c r="S114" s="273">
        <v>0.9797499999999999</v>
      </c>
      <c r="T114" s="273">
        <v>0.97975000000000001</v>
      </c>
      <c r="U114" s="2"/>
    </row>
    <row r="115" spans="1:21">
      <c r="A115" s="248">
        <f t="shared" si="4"/>
        <v>10</v>
      </c>
      <c r="B115" s="253">
        <v>4.3269797440259786E-2</v>
      </c>
      <c r="C115" s="263"/>
      <c r="D115" s="161">
        <v>4.6871235217011718E-2</v>
      </c>
      <c r="E115" s="161">
        <v>4.7656087770085502E-2</v>
      </c>
      <c r="F115" s="210">
        <v>4.8460990858812607E-2</v>
      </c>
      <c r="G115" s="210">
        <v>4.9377104602199046E-2</v>
      </c>
      <c r="H115" s="210">
        <v>5.1305765922146147E-2</v>
      </c>
      <c r="I115" s="210">
        <v>5.3242961809227642E-2</v>
      </c>
      <c r="J115" s="227">
        <v>5.5188408153618355E-2</v>
      </c>
      <c r="L115" s="273">
        <v>0.91449999999999998</v>
      </c>
      <c r="M115" s="274"/>
      <c r="N115" s="273">
        <v>0.91449999999999998</v>
      </c>
      <c r="O115" s="273">
        <v>0.91449999999999987</v>
      </c>
      <c r="P115" s="273">
        <v>0.91449999999999998</v>
      </c>
      <c r="Q115" s="273">
        <v>0.91449999999999998</v>
      </c>
      <c r="R115" s="273">
        <v>0.91449999999999987</v>
      </c>
      <c r="S115" s="273">
        <v>0.91449999999999998</v>
      </c>
      <c r="T115" s="273">
        <v>0.91449999999999987</v>
      </c>
      <c r="U115" s="2"/>
    </row>
    <row r="116" spans="1:21">
      <c r="A116" s="248">
        <f t="shared" si="4"/>
        <v>11</v>
      </c>
      <c r="B116" s="253">
        <v>3.64031715752869E-2</v>
      </c>
      <c r="C116" s="263"/>
      <c r="D116" s="161">
        <v>3.943308539648812E-2</v>
      </c>
      <c r="E116" s="161">
        <v>4.009338712751178E-2</v>
      </c>
      <c r="F116" s="210">
        <v>4.0770557509020165E-2</v>
      </c>
      <c r="G116" s="210">
        <v>4.1541290162183581E-2</v>
      </c>
      <c r="H116" s="210">
        <v>4.3163885900876095E-2</v>
      </c>
      <c r="I116" s="210">
        <v>4.4793661828293613E-2</v>
      </c>
      <c r="J116" s="227">
        <v>4.6430378920929591E-2</v>
      </c>
      <c r="L116" s="273">
        <v>0.76937499999999992</v>
      </c>
      <c r="M116" s="274"/>
      <c r="N116" s="273">
        <v>0.76937499999999992</v>
      </c>
      <c r="O116" s="273">
        <v>0.76937500000000003</v>
      </c>
      <c r="P116" s="273">
        <v>0.76937499999999992</v>
      </c>
      <c r="Q116" s="273">
        <v>0.76937499999999992</v>
      </c>
      <c r="R116" s="273">
        <v>0.76937500000000003</v>
      </c>
      <c r="S116" s="273">
        <v>0.76937499999999992</v>
      </c>
      <c r="T116" s="273">
        <v>0.76937499999999992</v>
      </c>
      <c r="U116" s="2"/>
    </row>
    <row r="117" spans="1:21">
      <c r="A117" s="248">
        <f t="shared" si="4"/>
        <v>12</v>
      </c>
      <c r="B117" s="253">
        <v>2.5650780685949521E-2</v>
      </c>
      <c r="C117" s="263"/>
      <c r="D117" s="161">
        <v>2.7785750018613969E-2</v>
      </c>
      <c r="E117" s="161">
        <v>2.8251018679450624E-2</v>
      </c>
      <c r="F117" s="210">
        <v>2.8728173503918847E-2</v>
      </c>
      <c r="G117" s="210">
        <v>2.9271255147585735E-2</v>
      </c>
      <c r="H117" s="210">
        <v>3.0414585402453231E-2</v>
      </c>
      <c r="I117" s="210">
        <v>3.1562975036443452E-2</v>
      </c>
      <c r="J117" s="227">
        <v>3.2716255626331715E-2</v>
      </c>
      <c r="L117" s="273">
        <v>0.54212499999999997</v>
      </c>
      <c r="M117" s="274"/>
      <c r="N117" s="273">
        <v>0.54212499999999997</v>
      </c>
      <c r="O117" s="273">
        <v>0.54212499999999986</v>
      </c>
      <c r="P117" s="273">
        <v>0.54212499999999997</v>
      </c>
      <c r="Q117" s="273">
        <v>0.54212499999999997</v>
      </c>
      <c r="R117" s="273">
        <v>0.54212499999999997</v>
      </c>
      <c r="S117" s="273">
        <v>0.54212499999999997</v>
      </c>
      <c r="T117" s="273">
        <v>0.54212499999999997</v>
      </c>
      <c r="U117" s="2"/>
    </row>
    <row r="118" spans="1:21">
      <c r="A118" s="248">
        <f t="shared" si="4"/>
        <v>13</v>
      </c>
      <c r="B118" s="253">
        <v>1.5537145691028219E-2</v>
      </c>
      <c r="C118" s="263"/>
      <c r="D118" s="161">
        <v>1.6830335554276894E-2</v>
      </c>
      <c r="E118" s="161">
        <v>1.7112157267907952E-2</v>
      </c>
      <c r="F118" s="210">
        <v>1.7401178647635414E-2</v>
      </c>
      <c r="G118" s="210">
        <v>1.7730133104152113E-2</v>
      </c>
      <c r="H118" s="210">
        <v>1.8422669092055484E-2</v>
      </c>
      <c r="I118" s="210">
        <v>1.9118269638168536E-2</v>
      </c>
      <c r="J118" s="227">
        <v>1.9816832725472307E-2</v>
      </c>
      <c r="L118" s="273">
        <v>0.32837499999999997</v>
      </c>
      <c r="M118" s="274"/>
      <c r="N118" s="273">
        <v>0.32837499999999997</v>
      </c>
      <c r="O118" s="273">
        <v>0.32837499999999997</v>
      </c>
      <c r="P118" s="273">
        <v>0.32837500000000003</v>
      </c>
      <c r="Q118" s="273">
        <v>0.32837499999999997</v>
      </c>
      <c r="R118" s="273">
        <v>0.32837499999999997</v>
      </c>
      <c r="S118" s="273">
        <v>0.32837499999999997</v>
      </c>
      <c r="T118" s="273">
        <v>0.32837499999999992</v>
      </c>
      <c r="U118" s="2"/>
    </row>
    <row r="119" spans="1:21">
      <c r="A119" s="248">
        <f t="shared" si="4"/>
        <v>14</v>
      </c>
      <c r="B119" s="253">
        <v>8.0849935895072594E-3</v>
      </c>
      <c r="C119" s="263"/>
      <c r="D119" s="161">
        <v>8.7579248963443133E-3</v>
      </c>
      <c r="E119" s="161">
        <v>8.9045751751922978E-3</v>
      </c>
      <c r="F119" s="210">
        <v>9.0549719114265733E-3</v>
      </c>
      <c r="G119" s="210">
        <v>9.2261484405694472E-3</v>
      </c>
      <c r="H119" s="210">
        <v>9.5865202317624056E-3</v>
      </c>
      <c r="I119" s="210">
        <v>9.9484867131238598E-3</v>
      </c>
      <c r="J119" s="227">
        <v>1.0311994798523273E-2</v>
      </c>
      <c r="L119" s="273">
        <v>0.17087499999999994</v>
      </c>
      <c r="M119" s="274"/>
      <c r="N119" s="273">
        <v>0.17087499999999994</v>
      </c>
      <c r="O119" s="273">
        <v>0.17087499999999994</v>
      </c>
      <c r="P119" s="273">
        <v>0.17087499999999994</v>
      </c>
      <c r="Q119" s="273">
        <v>0.17087499999999994</v>
      </c>
      <c r="R119" s="273">
        <v>0.17087499999999994</v>
      </c>
      <c r="S119" s="273">
        <v>0.17087499999999994</v>
      </c>
      <c r="T119" s="273">
        <v>0.17087499999999992</v>
      </c>
      <c r="U119" s="2"/>
    </row>
    <row r="120" spans="1:21">
      <c r="A120" s="248">
        <f t="shared" si="4"/>
        <v>15</v>
      </c>
      <c r="B120" s="253">
        <v>6.4215790230584555E-3</v>
      </c>
      <c r="C120" s="263"/>
      <c r="D120" s="161">
        <v>6.9599240685280991E-3</v>
      </c>
      <c r="E120" s="161">
        <v>7.0772442916064854E-3</v>
      </c>
      <c r="F120" s="210">
        <v>7.1999999999999998E-3</v>
      </c>
      <c r="G120" s="210">
        <v>7.3000000000000001E-3</v>
      </c>
      <c r="H120" s="210">
        <v>7.6E-3</v>
      </c>
      <c r="I120" s="210">
        <v>7.9000000000000008E-3</v>
      </c>
      <c r="J120" s="227">
        <v>8.2000000000000007E-3</v>
      </c>
      <c r="L120" s="273">
        <v>0.13669999999999996</v>
      </c>
      <c r="M120" s="274"/>
      <c r="N120" s="273">
        <v>0.13669999999999996</v>
      </c>
      <c r="O120" s="273">
        <v>0.13669999999999996</v>
      </c>
      <c r="P120" s="273">
        <v>0.13669999999999996</v>
      </c>
      <c r="Q120" s="273">
        <v>0.13669999999999996</v>
      </c>
      <c r="R120" s="273">
        <v>0.13669999999999996</v>
      </c>
      <c r="S120" s="273">
        <v>0.13669999999999996</v>
      </c>
      <c r="T120" s="273">
        <v>0.13669999999999996</v>
      </c>
      <c r="U120" s="2"/>
    </row>
    <row r="121" spans="1:21">
      <c r="A121" s="248">
        <f t="shared" si="4"/>
        <v>16</v>
      </c>
      <c r="B121" s="253">
        <v>5.1772632184467647E-3</v>
      </c>
      <c r="C121" s="263"/>
      <c r="D121" s="161">
        <v>5.6079392548224792E-3</v>
      </c>
      <c r="E121" s="161">
        <v>5.7017954332851889E-3</v>
      </c>
      <c r="F121" s="210">
        <v>5.7999999999999996E-3</v>
      </c>
      <c r="G121" s="210">
        <v>5.8999999999999999E-3</v>
      </c>
      <c r="H121" s="210">
        <v>6.0999999999999995E-3</v>
      </c>
      <c r="I121" s="210">
        <v>6.3999999999999994E-3</v>
      </c>
      <c r="J121" s="227">
        <v>6.6E-3</v>
      </c>
      <c r="L121" s="273">
        <v>0.10935999999999997</v>
      </c>
      <c r="M121" s="274"/>
      <c r="N121" s="273">
        <v>0.10935999999999997</v>
      </c>
      <c r="O121" s="273">
        <v>0.10935999999999996</v>
      </c>
      <c r="P121" s="273">
        <v>0.10935999999999998</v>
      </c>
      <c r="Q121" s="273">
        <v>0.10935999999999998</v>
      </c>
      <c r="R121" s="273">
        <v>0.10935999999999997</v>
      </c>
      <c r="S121" s="273">
        <v>0.10935999999999997</v>
      </c>
      <c r="T121" s="273">
        <v>0.10935999999999996</v>
      </c>
      <c r="U121" s="2"/>
    </row>
    <row r="122" spans="1:21">
      <c r="A122" s="248">
        <f t="shared" si="4"/>
        <v>17</v>
      </c>
      <c r="B122" s="253">
        <v>4.181810574757412E-3</v>
      </c>
      <c r="C122" s="263"/>
      <c r="D122" s="161">
        <v>4.5263514038579832E-3</v>
      </c>
      <c r="E122" s="161">
        <v>4.6014363466281511E-3</v>
      </c>
      <c r="F122" s="210">
        <v>4.6999999999999993E-3</v>
      </c>
      <c r="G122" s="210">
        <v>4.7999999999999996E-3</v>
      </c>
      <c r="H122" s="210">
        <v>4.9999999999999992E-3</v>
      </c>
      <c r="I122" s="210">
        <v>5.1999999999999998E-3</v>
      </c>
      <c r="J122" s="227">
        <v>5.3999999999999994E-3</v>
      </c>
      <c r="L122" s="273">
        <v>8.7487999999999982E-2</v>
      </c>
      <c r="M122" s="274"/>
      <c r="N122" s="273">
        <v>8.7487999999999982E-2</v>
      </c>
      <c r="O122" s="273">
        <v>8.7487999999999982E-2</v>
      </c>
      <c r="P122" s="273">
        <v>8.7487999999999996E-2</v>
      </c>
      <c r="Q122" s="273">
        <v>8.7487999999999996E-2</v>
      </c>
      <c r="R122" s="273">
        <v>8.7487999999999982E-2</v>
      </c>
      <c r="S122" s="273">
        <v>8.7487999999999982E-2</v>
      </c>
      <c r="T122" s="273">
        <v>8.7487999999999969E-2</v>
      </c>
      <c r="U122" s="2"/>
    </row>
    <row r="123" spans="1:21">
      <c r="A123" s="248">
        <f t="shared" si="4"/>
        <v>18</v>
      </c>
      <c r="B123" s="253">
        <v>3.2854484598059297E-3</v>
      </c>
      <c r="C123" s="263"/>
      <c r="D123" s="161">
        <v>3.5610811230863868E-3</v>
      </c>
      <c r="E123" s="161">
        <v>3.6211490773025213E-3</v>
      </c>
      <c r="F123" s="210">
        <v>3.6999999999999997E-3</v>
      </c>
      <c r="G123" s="210">
        <v>3.6999999999999997E-3</v>
      </c>
      <c r="H123" s="210">
        <v>3.8999999999999998E-3</v>
      </c>
      <c r="I123" s="210">
        <v>4.0000000000000001E-3</v>
      </c>
      <c r="J123" s="227">
        <v>4.2000000000000006E-3</v>
      </c>
      <c r="L123" s="273">
        <v>6.999039999999998E-2</v>
      </c>
      <c r="M123" s="274"/>
      <c r="N123" s="273">
        <v>6.999039999999998E-2</v>
      </c>
      <c r="O123" s="273">
        <v>6.999039999999998E-2</v>
      </c>
      <c r="P123" s="273">
        <v>6.9990399999999994E-2</v>
      </c>
      <c r="Q123" s="273">
        <v>6.9990399999999994E-2</v>
      </c>
      <c r="R123" s="273">
        <v>6.9990399999999994E-2</v>
      </c>
      <c r="S123" s="273">
        <v>6.9990399999999994E-2</v>
      </c>
      <c r="T123" s="273">
        <v>6.999039999999998E-2</v>
      </c>
      <c r="U123" s="2"/>
    </row>
    <row r="124" spans="1:21">
      <c r="A124" s="248">
        <f t="shared" si="4"/>
        <v>19</v>
      </c>
      <c r="B124" s="253">
        <v>2.6483587678447439E-3</v>
      </c>
      <c r="C124" s="263"/>
      <c r="D124" s="161">
        <v>2.8688648984691095E-3</v>
      </c>
      <c r="E124" s="161">
        <v>2.9169192618420173E-3</v>
      </c>
      <c r="F124" s="210">
        <v>2.9999999999999996E-3</v>
      </c>
      <c r="G124" s="210">
        <v>2.9999999999999996E-3</v>
      </c>
      <c r="H124" s="210">
        <v>3.0999999999999999E-3</v>
      </c>
      <c r="I124" s="210">
        <v>3.3E-3</v>
      </c>
      <c r="J124" s="227">
        <v>3.3999999999999998E-3</v>
      </c>
      <c r="L124" s="273">
        <v>5.5992319999999991E-2</v>
      </c>
      <c r="M124" s="274"/>
      <c r="N124" s="273">
        <v>5.5992319999999998E-2</v>
      </c>
      <c r="O124" s="273">
        <v>5.5992319999999998E-2</v>
      </c>
      <c r="P124" s="273">
        <v>5.5992319999999998E-2</v>
      </c>
      <c r="Q124" s="273">
        <v>5.5992319999999991E-2</v>
      </c>
      <c r="R124" s="273">
        <v>5.5992319999999991E-2</v>
      </c>
      <c r="S124" s="273">
        <v>5.5992319999999991E-2</v>
      </c>
      <c r="T124" s="273">
        <v>5.5992319999999984E-2</v>
      </c>
      <c r="U124" s="2"/>
    </row>
    <row r="125" spans="1:21">
      <c r="A125" s="246">
        <f t="shared" si="4"/>
        <v>20</v>
      </c>
      <c r="B125" s="254">
        <v>2.1386870142757952E-3</v>
      </c>
      <c r="C125" s="264"/>
      <c r="D125" s="225">
        <v>2.3150919187752876E-3</v>
      </c>
      <c r="E125" s="225">
        <v>2.3535354094736138E-3</v>
      </c>
      <c r="F125" s="233">
        <v>2.3999999999999998E-3</v>
      </c>
      <c r="G125" s="233">
        <v>2.4999999999999996E-3</v>
      </c>
      <c r="H125" s="233">
        <v>2.5999999999999999E-3</v>
      </c>
      <c r="I125" s="233">
        <v>2.5999999999999999E-3</v>
      </c>
      <c r="J125" s="234">
        <v>2.8E-3</v>
      </c>
      <c r="L125" s="273">
        <v>4.4793856E-2</v>
      </c>
      <c r="M125" s="274"/>
      <c r="N125" s="273">
        <v>4.4793856E-2</v>
      </c>
      <c r="O125" s="273">
        <v>4.4793855999999993E-2</v>
      </c>
      <c r="P125" s="273">
        <v>4.4793856000000007E-2</v>
      </c>
      <c r="Q125" s="273">
        <v>4.4793856000000007E-2</v>
      </c>
      <c r="R125" s="273">
        <v>4.4793855999999993E-2</v>
      </c>
      <c r="S125" s="273">
        <v>4.4793856E-2</v>
      </c>
      <c r="T125" s="273">
        <v>4.4793855999999993E-2</v>
      </c>
      <c r="U125" s="2"/>
    </row>
    <row r="128" spans="1:21">
      <c r="A128" t="s">
        <v>154</v>
      </c>
      <c r="B128" s="2"/>
      <c r="D128" s="2"/>
      <c r="E128" s="2"/>
      <c r="F128" s="2"/>
      <c r="G128" s="2"/>
      <c r="H128" s="2"/>
      <c r="I128" s="2"/>
      <c r="J128" s="2"/>
    </row>
    <row r="129" spans="1:10">
      <c r="B129" s="2"/>
      <c r="D129" s="2"/>
      <c r="E129" s="2"/>
      <c r="F129" s="2"/>
      <c r="G129" s="2"/>
      <c r="H129" s="2"/>
      <c r="I129" s="2"/>
      <c r="J129" s="2"/>
    </row>
    <row r="130" spans="1:10" s="290" customFormat="1">
      <c r="A130" s="289" t="s">
        <v>157</v>
      </c>
    </row>
    <row r="131" spans="1:10" s="290" customFormat="1">
      <c r="A131" s="290" t="s">
        <v>155</v>
      </c>
    </row>
    <row r="132" spans="1:10" s="290" customFormat="1">
      <c r="A132" s="290" t="s">
        <v>160</v>
      </c>
    </row>
    <row r="133" spans="1:10" s="290" customFormat="1"/>
    <row r="134" spans="1:10" s="290" customFormat="1">
      <c r="A134" s="289" t="s">
        <v>158</v>
      </c>
    </row>
    <row r="135" spans="1:10" s="290" customFormat="1">
      <c r="A135" s="290" t="s">
        <v>159</v>
      </c>
    </row>
    <row r="136" spans="1:10" s="290" customFormat="1"/>
    <row r="202" spans="4:12">
      <c r="K202" s="9">
        <f>J207+1</f>
        <v>8</v>
      </c>
      <c r="L202" s="9"/>
    </row>
    <row r="207" spans="4:12">
      <c r="D207" s="9">
        <v>1</v>
      </c>
      <c r="E207" s="9">
        <f t="shared" ref="E207:J207" si="5">D207+1</f>
        <v>2</v>
      </c>
      <c r="F207" s="9">
        <f t="shared" si="5"/>
        <v>3</v>
      </c>
      <c r="G207" s="9">
        <f t="shared" si="5"/>
        <v>4</v>
      </c>
      <c r="H207" s="9">
        <f t="shared" si="5"/>
        <v>5</v>
      </c>
      <c r="I207" s="9">
        <f t="shared" si="5"/>
        <v>6</v>
      </c>
      <c r="J207" s="9">
        <f t="shared" si="5"/>
        <v>7</v>
      </c>
    </row>
    <row r="218" spans="4:12">
      <c r="K218" s="9">
        <v>8</v>
      </c>
      <c r="L218" s="9"/>
    </row>
    <row r="223" spans="4:12">
      <c r="D223" s="9">
        <v>1</v>
      </c>
      <c r="E223" s="9">
        <v>2</v>
      </c>
      <c r="F223" s="9">
        <v>3</v>
      </c>
      <c r="G223" s="9">
        <v>4</v>
      </c>
      <c r="H223" s="9">
        <v>5</v>
      </c>
      <c r="I223" s="9">
        <v>6</v>
      </c>
      <c r="J223" s="9">
        <v>7</v>
      </c>
    </row>
    <row r="224" spans="4:12">
      <c r="K224" s="9">
        <v>8</v>
      </c>
      <c r="L224" s="9"/>
    </row>
    <row r="229" spans="4:10">
      <c r="D229" s="9">
        <v>1</v>
      </c>
      <c r="E229" s="9">
        <v>2</v>
      </c>
      <c r="F229" s="9">
        <v>3</v>
      </c>
      <c r="G229" s="9">
        <v>4</v>
      </c>
      <c r="H229" s="9">
        <v>5</v>
      </c>
      <c r="I229" s="9">
        <v>6</v>
      </c>
      <c r="J229" s="9">
        <v>7</v>
      </c>
    </row>
  </sheetData>
  <mergeCells count="10">
    <mergeCell ref="B32:J32"/>
    <mergeCell ref="B56:J56"/>
    <mergeCell ref="B80:J80"/>
    <mergeCell ref="B104:J104"/>
    <mergeCell ref="B8:J8"/>
    <mergeCell ref="L8:T8"/>
    <mergeCell ref="L32:T32"/>
    <mergeCell ref="L56:T56"/>
    <mergeCell ref="L80:T80"/>
    <mergeCell ref="L104:T10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5C37-7314-48F6-BBA6-925741BEFED2}">
  <sheetPr>
    <tabColor rgb="FF0070C0"/>
  </sheetPr>
  <dimension ref="A1"/>
  <sheetViews>
    <sheetView workbookViewId="0"/>
  </sheetViews>
  <sheetFormatPr defaultColWidth="8.875" defaultRowHeight="14.25"/>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5B69B-00D8-4FF4-A619-1820E4329AE6}">
  <sheetPr>
    <tabColor rgb="FFFF0000"/>
  </sheetPr>
  <dimension ref="A1:AY180"/>
  <sheetViews>
    <sheetView workbookViewId="0">
      <selection sqref="A1:B1"/>
    </sheetView>
  </sheetViews>
  <sheetFormatPr defaultColWidth="8.875" defaultRowHeight="14.25"/>
  <cols>
    <col min="1" max="1" width="57.75" customWidth="1"/>
    <col min="2" max="2" width="17.875" customWidth="1"/>
    <col min="3" max="3" width="52.375" customWidth="1"/>
    <col min="4" max="4" width="25.25" customWidth="1"/>
  </cols>
  <sheetData>
    <row r="1" spans="1:10" ht="18">
      <c r="A1" s="281" t="s">
        <v>53</v>
      </c>
      <c r="B1" s="282"/>
      <c r="C1" s="283" t="s">
        <v>54</v>
      </c>
      <c r="D1" s="284"/>
    </row>
    <row r="2" spans="1:10" ht="15" thickBot="1">
      <c r="A2" s="42"/>
      <c r="B2" s="19"/>
      <c r="C2" s="19"/>
      <c r="D2" s="67"/>
    </row>
    <row r="3" spans="1:10" ht="21" thickBot="1">
      <c r="A3" s="149" t="s">
        <v>52</v>
      </c>
      <c r="B3" s="150" t="e">
        <f>#REF!</f>
        <v>#REF!</v>
      </c>
      <c r="C3" s="147" t="str">
        <f>_xlfn.CONCAT("Additional Fee (år ",B6,"):")</f>
        <v>Additional Fee (år 6):</v>
      </c>
      <c r="D3" s="90" t="e">
        <f>(HLOOKUP($B$6,B66:N75,10,FALSE))</f>
        <v>#N/A</v>
      </c>
    </row>
    <row r="4" spans="1:10" ht="21" thickBot="1">
      <c r="A4" s="42" t="s">
        <v>43</v>
      </c>
      <c r="B4" s="7" t="s">
        <v>23</v>
      </c>
      <c r="C4" s="147" t="str">
        <f>_xlfn.CONCAT("Performance Fee (år ",B6,"):")</f>
        <v>Performance Fee (år 6):</v>
      </c>
      <c r="D4" s="90" t="e">
        <f>(HLOOKUP($B$6,B66:N75,9,FALSE))</f>
        <v>#N/A</v>
      </c>
    </row>
    <row r="5" spans="1:10" ht="15">
      <c r="A5" s="84"/>
      <c r="B5" s="19"/>
      <c r="C5" s="83"/>
      <c r="D5" s="67"/>
    </row>
    <row r="6" spans="1:10" ht="15.75" thickBot="1">
      <c r="A6" s="87" t="s">
        <v>55</v>
      </c>
      <c r="B6" s="148">
        <v>6</v>
      </c>
      <c r="C6" s="68"/>
      <c r="D6" s="86"/>
    </row>
    <row r="8" spans="1:10" ht="20.25">
      <c r="A8" s="78" t="s">
        <v>0</v>
      </c>
    </row>
    <row r="9" spans="1:10" ht="15" thickBot="1"/>
    <row r="10" spans="1:10">
      <c r="A10" s="142" t="s">
        <v>23</v>
      </c>
      <c r="B10" s="143"/>
    </row>
    <row r="11" spans="1:10" ht="15" thickBot="1">
      <c r="A11" s="144" t="s">
        <v>62</v>
      </c>
      <c r="B11" s="105" t="e">
        <f>VLOOKUP($A11,#REF!,4,FALSE)</f>
        <v>#REF!</v>
      </c>
      <c r="C11" t="s">
        <v>1</v>
      </c>
    </row>
    <row r="12" spans="1:10" ht="15" thickBot="1"/>
    <row r="13" spans="1:10" ht="15">
      <c r="A13" s="108" t="s">
        <v>9</v>
      </c>
      <c r="B13" s="153"/>
      <c r="C13" s="154" t="s">
        <v>16</v>
      </c>
      <c r="D13" s="155"/>
    </row>
    <row r="14" spans="1:10">
      <c r="A14" s="32" t="s">
        <v>10</v>
      </c>
      <c r="B14" s="156">
        <v>0.02</v>
      </c>
      <c r="C14" t="s">
        <v>18</v>
      </c>
      <c r="D14" s="160">
        <v>1</v>
      </c>
      <c r="F14" s="109"/>
    </row>
    <row r="15" spans="1:10" ht="15" thickBot="1">
      <c r="A15" s="99" t="s">
        <v>11</v>
      </c>
      <c r="B15" s="157">
        <v>0.02</v>
      </c>
      <c r="C15" s="158" t="s">
        <v>17</v>
      </c>
      <c r="D15" s="97">
        <v>1</v>
      </c>
      <c r="F15" s="109"/>
    </row>
    <row r="16" spans="1:10" ht="15" thickBot="1">
      <c r="B16" s="16"/>
      <c r="I16" s="26"/>
      <c r="J16" s="26"/>
    </row>
    <row r="17" spans="1:9" ht="15.75" thickBot="1">
      <c r="A17" s="39" t="s">
        <v>29</v>
      </c>
      <c r="B17" s="126" t="e">
        <f>VLOOKUP($A17,#REF!,4,FALSE)</f>
        <v>#REF!</v>
      </c>
    </row>
    <row r="18" spans="1:9">
      <c r="B18" s="124"/>
    </row>
    <row r="19" spans="1:9" ht="15" thickBot="1">
      <c r="A19" s="3"/>
      <c r="B19" s="18"/>
      <c r="D19" s="3"/>
      <c r="E19" s="3"/>
    </row>
    <row r="20" spans="1:9">
      <c r="A20" s="123"/>
      <c r="B20" s="122" t="s">
        <v>25</v>
      </c>
      <c r="C20" s="285" t="s">
        <v>26</v>
      </c>
      <c r="D20" s="286"/>
      <c r="E20" s="286"/>
      <c r="F20" s="286"/>
      <c r="G20" s="287"/>
    </row>
    <row r="21" spans="1:9">
      <c r="A21" s="32" t="s">
        <v>1</v>
      </c>
      <c r="B21" s="13">
        <v>1</v>
      </c>
      <c r="C21" s="14" t="e">
        <f>IF($B$11&gt;=B$158,B$158,"")</f>
        <v>#REF!</v>
      </c>
      <c r="D21" s="15" t="e">
        <f>IF($B$11&gt;=C$158,C$158,"")</f>
        <v>#REF!</v>
      </c>
      <c r="E21" s="15" t="e">
        <f>IF($B$11&gt;=D$158,D$158,"")</f>
        <v>#REF!</v>
      </c>
      <c r="F21" s="15" t="e">
        <f>IF($B$11&gt;=E$158,E$158,"")</f>
        <v>#REF!</v>
      </c>
      <c r="G21" s="127" t="e">
        <f>IF($B$11&gt;=F$158,F$158,"")</f>
        <v>#REF!</v>
      </c>
    </row>
    <row r="22" spans="1:9">
      <c r="A22" s="32" t="s">
        <v>27</v>
      </c>
      <c r="B22" s="121">
        <v>0.1</v>
      </c>
      <c r="C22" s="121">
        <v>0.2</v>
      </c>
      <c r="D22" s="120">
        <v>0.35</v>
      </c>
      <c r="E22" s="120">
        <v>0.35</v>
      </c>
      <c r="F22" s="119"/>
      <c r="G22" s="114"/>
    </row>
    <row r="23" spans="1:9" ht="15" thickBot="1">
      <c r="A23" s="99" t="s">
        <v>28</v>
      </c>
      <c r="B23" s="118">
        <f>B22</f>
        <v>0.1</v>
      </c>
      <c r="C23" s="118">
        <f>IF(OR(B$23=100%,B$23=""),"",B$23+C$22)</f>
        <v>0.30000000000000004</v>
      </c>
      <c r="D23" s="117">
        <f>IF(OR(C$23=100%,C$23=""),"",C$23+D$22)</f>
        <v>0.65</v>
      </c>
      <c r="E23" s="117">
        <f>IF(OR(D$23=100%,D$23=""),"",D$23+E$22)</f>
        <v>1</v>
      </c>
      <c r="F23" s="117" t="str">
        <f>IF(OR(E$23=100%,E$23=""),"",E$23+F$22)</f>
        <v/>
      </c>
      <c r="G23" s="116" t="str">
        <f>IF(OR(F$23=100%,F$23=""),"",F$23+G$22)</f>
        <v/>
      </c>
    </row>
    <row r="24" spans="1:9">
      <c r="A24" s="1"/>
    </row>
    <row r="25" spans="1:9" ht="15" thickBot="1">
      <c r="A25" s="11" t="s">
        <v>24</v>
      </c>
    </row>
    <row r="26" spans="1:9" ht="15">
      <c r="A26" s="40" t="s">
        <v>15</v>
      </c>
      <c r="B26" s="41"/>
      <c r="I26" s="115"/>
    </row>
    <row r="27" spans="1:9">
      <c r="A27" s="42" t="s">
        <v>56</v>
      </c>
      <c r="B27" s="114" t="e">
        <f>VLOOKUP($A27,#REF!,4,FALSE)</f>
        <v>#REF!</v>
      </c>
    </row>
    <row r="28" spans="1:9" ht="15" thickBot="1">
      <c r="A28" s="43" t="s">
        <v>57</v>
      </c>
      <c r="B28" s="105" t="e">
        <f>VLOOKUP($A28,#REF!,4,FALSE)</f>
        <v>#REF!</v>
      </c>
    </row>
    <row r="29" spans="1:9">
      <c r="B29" s="111"/>
    </row>
    <row r="30" spans="1:9" ht="15" thickBot="1">
      <c r="B30" s="6"/>
      <c r="C30" s="3"/>
      <c r="D30" s="3"/>
      <c r="E30" s="3"/>
    </row>
    <row r="31" spans="1:9" ht="15">
      <c r="A31" s="40" t="s">
        <v>22</v>
      </c>
      <c r="B31" s="44"/>
      <c r="D31" s="3"/>
      <c r="E31" s="3"/>
    </row>
    <row r="32" spans="1:9">
      <c r="A32" s="42" t="s">
        <v>20</v>
      </c>
      <c r="B32" s="128" t="e">
        <f>VLOOKUP($A32,#REF!,4,FALSE)</f>
        <v>#REF!</v>
      </c>
      <c r="D32" s="3"/>
      <c r="E32" s="3"/>
      <c r="G32" s="6"/>
      <c r="H32" s="113"/>
      <c r="I32" s="112"/>
    </row>
    <row r="33" spans="1:11">
      <c r="A33" s="42" t="s">
        <v>30</v>
      </c>
      <c r="B33" s="128" t="e">
        <f>VLOOKUP($A33,#REF!,4,FALSE)</f>
        <v>#REF!</v>
      </c>
      <c r="D33" s="3"/>
      <c r="E33" s="3"/>
      <c r="G33" s="6"/>
      <c r="H33" s="113"/>
      <c r="I33" s="112"/>
    </row>
    <row r="34" spans="1:11" ht="15" thickBot="1">
      <c r="A34" s="43" t="s">
        <v>21</v>
      </c>
      <c r="B34" s="129" t="e">
        <f>VLOOKUP($A34,#REF!,4,FALSE)</f>
        <v>#REF!</v>
      </c>
      <c r="D34" s="112"/>
      <c r="E34" s="3"/>
      <c r="G34" s="6"/>
      <c r="H34" s="113"/>
      <c r="I34" s="112"/>
    </row>
    <row r="35" spans="1:11" ht="15" thickBot="1">
      <c r="B35" s="111"/>
      <c r="C35" s="113"/>
      <c r="D35" s="7"/>
      <c r="E35" s="3"/>
      <c r="G35" s="6"/>
      <c r="H35" s="113"/>
      <c r="I35" s="112"/>
    </row>
    <row r="36" spans="1:11" ht="15">
      <c r="A36" s="108" t="s">
        <v>9</v>
      </c>
      <c r="B36" s="153"/>
      <c r="C36" s="154" t="s">
        <v>16</v>
      </c>
      <c r="D36" s="155"/>
      <c r="H36" s="112"/>
    </row>
    <row r="37" spans="1:11">
      <c r="A37" s="32" t="s">
        <v>10</v>
      </c>
      <c r="B37" s="156">
        <f>$B$15</f>
        <v>0.02</v>
      </c>
      <c r="C37" t="s">
        <v>18</v>
      </c>
      <c r="D37" s="159">
        <v>1</v>
      </c>
      <c r="F37" s="3"/>
      <c r="G37" s="109"/>
      <c r="H37" s="112"/>
    </row>
    <row r="38" spans="1:11" ht="15" thickBot="1">
      <c r="A38" s="99" t="s">
        <v>11</v>
      </c>
      <c r="B38" s="157">
        <f>$B$16</f>
        <v>0</v>
      </c>
      <c r="C38" s="35" t="s">
        <v>17</v>
      </c>
      <c r="D38" s="97">
        <v>0.9</v>
      </c>
      <c r="F38" s="3"/>
      <c r="G38" s="109"/>
      <c r="H38" s="112"/>
    </row>
    <row r="39" spans="1:11" ht="15" thickBot="1">
      <c r="B39" s="30"/>
      <c r="D39" s="3"/>
      <c r="I39" s="8"/>
      <c r="J39" s="8"/>
    </row>
    <row r="40" spans="1:11" ht="15.75" thickBot="1">
      <c r="A40" s="130" t="s">
        <v>29</v>
      </c>
      <c r="B40" s="126" t="e">
        <f>VLOOKUP($A40,#REF!,4,FALSE)</f>
        <v>#REF!</v>
      </c>
    </row>
    <row r="41" spans="1:11" ht="15" thickBot="1">
      <c r="B41" s="111"/>
    </row>
    <row r="42" spans="1:11" ht="15">
      <c r="A42" s="40" t="s">
        <v>12</v>
      </c>
      <c r="B42" s="110"/>
      <c r="D42" s="3"/>
      <c r="I42" s="3"/>
      <c r="J42" s="3"/>
      <c r="K42" s="3"/>
    </row>
    <row r="43" spans="1:11">
      <c r="A43" s="42" t="s">
        <v>2</v>
      </c>
      <c r="B43" s="128" t="e">
        <f>VLOOKUP($A43,#REF!,4,FALSE)</f>
        <v>#REF!</v>
      </c>
      <c r="D43" s="3"/>
      <c r="E43" s="3"/>
      <c r="F43" s="109"/>
      <c r="G43" s="3"/>
      <c r="H43" s="3"/>
      <c r="I43" s="3"/>
      <c r="J43" s="3"/>
      <c r="K43" s="3"/>
    </row>
    <row r="44" spans="1:11">
      <c r="A44" s="42" t="s">
        <v>13</v>
      </c>
      <c r="B44" s="128" t="e">
        <f>VLOOKUP($A44,#REF!,4,FALSE)</f>
        <v>#REF!</v>
      </c>
      <c r="D44" s="3"/>
      <c r="E44" s="3"/>
      <c r="F44" s="3"/>
      <c r="G44" s="3"/>
      <c r="H44" s="3"/>
      <c r="I44" s="3"/>
      <c r="J44" s="3"/>
      <c r="K44" s="3"/>
    </row>
    <row r="45" spans="1:11">
      <c r="A45" s="42" t="s">
        <v>14</v>
      </c>
      <c r="B45" s="128" t="e">
        <f>VLOOKUP($A45,#REF!,4,FALSE)</f>
        <v>#REF!</v>
      </c>
      <c r="D45" s="3"/>
      <c r="E45" s="3"/>
    </row>
    <row r="46" spans="1:11" ht="15" thickBot="1">
      <c r="A46" s="43" t="s">
        <v>49</v>
      </c>
      <c r="B46" s="129" t="e">
        <f>VLOOKUP($A46,#REF!,4,FALSE)</f>
        <v>#REF!</v>
      </c>
      <c r="D46" s="3"/>
      <c r="E46" s="3"/>
    </row>
    <row r="47" spans="1:11">
      <c r="B47" s="4"/>
      <c r="D47" s="3"/>
      <c r="E47" s="3"/>
    </row>
    <row r="48" spans="1:11" ht="15" thickBot="1">
      <c r="A48" s="3"/>
      <c r="B48" s="3"/>
      <c r="D48" s="3"/>
      <c r="E48" s="3"/>
    </row>
    <row r="49" spans="1:21">
      <c r="A49" s="123" t="s">
        <v>19</v>
      </c>
      <c r="B49" s="140" t="e">
        <f t="shared" ref="B49:K49" si="0">IF($B$27&gt;=B$158,B$158,"")</f>
        <v>#REF!</v>
      </c>
      <c r="C49" s="140" t="e">
        <f t="shared" si="0"/>
        <v>#REF!</v>
      </c>
      <c r="D49" s="140" t="e">
        <f t="shared" si="0"/>
        <v>#REF!</v>
      </c>
      <c r="E49" s="140" t="e">
        <f t="shared" si="0"/>
        <v>#REF!</v>
      </c>
      <c r="F49" s="140" t="e">
        <f t="shared" si="0"/>
        <v>#REF!</v>
      </c>
      <c r="G49" s="140" t="e">
        <f t="shared" si="0"/>
        <v>#REF!</v>
      </c>
      <c r="H49" s="140" t="e">
        <f t="shared" si="0"/>
        <v>#REF!</v>
      </c>
      <c r="I49" s="140" t="e">
        <f t="shared" si="0"/>
        <v>#REF!</v>
      </c>
      <c r="J49" s="140" t="e">
        <f t="shared" si="0"/>
        <v>#REF!</v>
      </c>
      <c r="K49" s="141" t="e">
        <f t="shared" si="0"/>
        <v>#REF!</v>
      </c>
    </row>
    <row r="50" spans="1:21" ht="15" thickBot="1">
      <c r="A50" s="99" t="s">
        <v>3</v>
      </c>
      <c r="B50" s="34">
        <v>0.2</v>
      </c>
      <c r="C50" s="34">
        <v>0.25</v>
      </c>
      <c r="D50" s="34">
        <v>0.25</v>
      </c>
      <c r="E50" s="34">
        <v>0.2</v>
      </c>
      <c r="F50" s="34">
        <v>0.1</v>
      </c>
      <c r="G50" s="106"/>
      <c r="H50" s="106"/>
      <c r="I50" s="106"/>
      <c r="J50" s="106"/>
      <c r="K50" s="105"/>
    </row>
    <row r="51" spans="1:21">
      <c r="D51" s="3"/>
      <c r="E51" s="3"/>
    </row>
    <row r="52" spans="1:21" ht="15" thickBot="1">
      <c r="D52" s="3"/>
      <c r="E52" s="3"/>
      <c r="I52" s="10"/>
    </row>
    <row r="53" spans="1:21">
      <c r="A53" s="104" t="s">
        <v>4</v>
      </c>
      <c r="B53" s="101"/>
      <c r="C53" s="101"/>
      <c r="D53" s="101"/>
      <c r="E53" s="101"/>
      <c r="F53" s="101"/>
      <c r="G53" s="101"/>
      <c r="H53" s="101"/>
      <c r="I53" s="101"/>
      <c r="J53" s="101"/>
      <c r="K53" s="101"/>
      <c r="L53" s="101"/>
      <c r="M53" s="101"/>
      <c r="N53" s="101"/>
      <c r="O53" s="101"/>
      <c r="P53" s="101"/>
      <c r="Q53" s="101"/>
      <c r="R53" s="101"/>
      <c r="S53" s="101"/>
      <c r="T53" s="101"/>
      <c r="U53" s="44"/>
    </row>
    <row r="54" spans="1:21">
      <c r="A54" s="42" t="s">
        <v>1</v>
      </c>
      <c r="B54" s="71" t="e">
        <f t="shared" ref="B54:U54" si="1">IF(SUM($B$27:$B$28)+$B$11+1&gt;=B$158,B$158,"")</f>
        <v>#REF!</v>
      </c>
      <c r="C54" s="71" t="e">
        <f t="shared" si="1"/>
        <v>#REF!</v>
      </c>
      <c r="D54" s="71" t="e">
        <f t="shared" si="1"/>
        <v>#REF!</v>
      </c>
      <c r="E54" s="71" t="e">
        <f t="shared" si="1"/>
        <v>#REF!</v>
      </c>
      <c r="F54" s="71" t="e">
        <f t="shared" si="1"/>
        <v>#REF!</v>
      </c>
      <c r="G54" s="71" t="e">
        <f t="shared" si="1"/>
        <v>#REF!</v>
      </c>
      <c r="H54" s="71" t="e">
        <f t="shared" si="1"/>
        <v>#REF!</v>
      </c>
      <c r="I54" s="71" t="e">
        <f t="shared" si="1"/>
        <v>#REF!</v>
      </c>
      <c r="J54" s="71" t="e">
        <f t="shared" si="1"/>
        <v>#REF!</v>
      </c>
      <c r="K54" s="71" t="e">
        <f t="shared" si="1"/>
        <v>#REF!</v>
      </c>
      <c r="L54" s="71" t="e">
        <f t="shared" si="1"/>
        <v>#REF!</v>
      </c>
      <c r="M54" s="71" t="e">
        <f t="shared" si="1"/>
        <v>#REF!</v>
      </c>
      <c r="N54" s="71" t="e">
        <f t="shared" si="1"/>
        <v>#REF!</v>
      </c>
      <c r="O54" s="71" t="e">
        <f t="shared" si="1"/>
        <v>#REF!</v>
      </c>
      <c r="P54" s="71" t="e">
        <f t="shared" si="1"/>
        <v>#REF!</v>
      </c>
      <c r="Q54" s="71" t="e">
        <f t="shared" si="1"/>
        <v>#REF!</v>
      </c>
      <c r="R54" s="71" t="e">
        <f t="shared" si="1"/>
        <v>#REF!</v>
      </c>
      <c r="S54" s="71" t="e">
        <f t="shared" si="1"/>
        <v>#REF!</v>
      </c>
      <c r="T54" s="71" t="e">
        <f t="shared" si="1"/>
        <v>#REF!</v>
      </c>
      <c r="U54" s="72" t="e">
        <f t="shared" si="1"/>
        <v>#REF!</v>
      </c>
    </row>
    <row r="55" spans="1:21">
      <c r="A55" s="42" t="s">
        <v>42</v>
      </c>
      <c r="B55" s="59" t="e">
        <f>IF(B54="","",B23*B50*D38)</f>
        <v>#REF!</v>
      </c>
      <c r="C55" s="59" t="e">
        <f>IF(C54="","",B50*D38*C22+C50*D38*B22)</f>
        <v>#REF!</v>
      </c>
      <c r="D55" s="59" t="e">
        <f>IF(D54="","",B22*D38*D50+C22*D38*C50+D22*D38*B50)</f>
        <v>#REF!</v>
      </c>
      <c r="E55" s="59" t="e">
        <f>IF(E54="","",B22*D38*E50+C22*D38*D50+D22*D38*C50+E22*D38*B50)</f>
        <v>#REF!</v>
      </c>
      <c r="F55" s="59" t="e">
        <f>IF(F54="","",B22*D38*F50+C22*D38*E50+D22*D38*D50+E22*D38*C50+F22*D38*B50)</f>
        <v>#REF!</v>
      </c>
      <c r="G55" s="59" t="e">
        <f>IF(G54="","",C22*D38*F50+D22*D38*E50+E22*D38*D50+F22*D38*C50+G22*D38*B50+B22*D38*G50)</f>
        <v>#REF!</v>
      </c>
      <c r="H55" s="59" t="e">
        <f>IF(H54="","",D22*D38*F50+E22*D38*E50+F22*D38*D50+G22*D38*C50+B22*D38*H50+C22*D38*G50)</f>
        <v>#REF!</v>
      </c>
      <c r="I55" s="59" t="e">
        <f>IF(I54="","",E22*D38*F50+F22*D38*E50+G22*D38*D50+B22*D38*I50+C22*D38*H50+D22*D38*G50)</f>
        <v>#REF!</v>
      </c>
      <c r="J55" s="59" t="e">
        <f>IF(J54="","",F22*D38*F50+G22*D38*E50+B22*D38*J50+C22*D38*I50+D22*D38*H50+E22*D38*G50)</f>
        <v>#REF!</v>
      </c>
      <c r="K55" s="59" t="e">
        <f>IF(K54="","",G22*D38*F50+B22*D38*K50+C22*D38*J50+D22*D38*I50+E22*D38*H50+F22*D38*G50)</f>
        <v>#REF!</v>
      </c>
      <c r="L55" s="59" t="e">
        <f>IF(L54="","",C22*D38*K50+D22*+D38*J50+E22*D38*I50+F22*D38*H50+G22*D38*G50)</f>
        <v>#REF!</v>
      </c>
      <c r="M55" s="59" t="e">
        <f>IF(M54="","",D22*D38*K50+E22*D38*J50+F22*D38*I50+G22*D38*H50)</f>
        <v>#REF!</v>
      </c>
      <c r="N55" s="59" t="e">
        <f>IF(N54="","",E22*D38*K50+F22*D38*J50+G22*D38*I50)</f>
        <v>#REF!</v>
      </c>
      <c r="O55" s="59" t="e">
        <f>IF(O54="","",F22*D38*K50+G22*D38*J50)</f>
        <v>#REF!</v>
      </c>
      <c r="P55" s="59" t="e">
        <f>IF(P54="","",G22*D38*K50)</f>
        <v>#REF!</v>
      </c>
      <c r="Q55" s="59" t="e">
        <f>IF(OR(P$56=$E$57,P$56=""),"",0%)</f>
        <v>#REF!</v>
      </c>
      <c r="R55" s="59" t="e">
        <f>IF(OR(Q$56=$E$57,Q$56=""),"",0%)</f>
        <v>#REF!</v>
      </c>
      <c r="S55" s="59" t="e">
        <f>IF(OR(R$56=$E$57,R$56=""),"",0%)</f>
        <v>#REF!</v>
      </c>
      <c r="T55" s="59" t="e">
        <f>IF(OR(S$56=$E$57,S$56=""),"",0%)</f>
        <v>#REF!</v>
      </c>
      <c r="U55" s="60" t="e">
        <f>IF(OR(T$56=$E$57,T$56=""),"",0%)</f>
        <v>#REF!</v>
      </c>
    </row>
    <row r="56" spans="1:21">
      <c r="A56" s="42" t="s">
        <v>5</v>
      </c>
      <c r="B56" s="51" t="e">
        <f>IF($B$71="","",$B$55)</f>
        <v>#REF!</v>
      </c>
      <c r="C56" s="51" t="e">
        <f>IF(C$54="","",B$56+C$55)</f>
        <v>#REF!</v>
      </c>
      <c r="D56" s="51" t="e">
        <f t="shared" ref="D56:U56" si="2">IF(D$54="","",C$56+D$55)</f>
        <v>#REF!</v>
      </c>
      <c r="E56" s="51" t="e">
        <f t="shared" si="2"/>
        <v>#REF!</v>
      </c>
      <c r="F56" s="51" t="e">
        <f t="shared" si="2"/>
        <v>#REF!</v>
      </c>
      <c r="G56" s="51" t="e">
        <f t="shared" si="2"/>
        <v>#REF!</v>
      </c>
      <c r="H56" s="51" t="e">
        <f t="shared" si="2"/>
        <v>#REF!</v>
      </c>
      <c r="I56" s="51" t="e">
        <f t="shared" si="2"/>
        <v>#REF!</v>
      </c>
      <c r="J56" s="51" t="e">
        <f t="shared" si="2"/>
        <v>#REF!</v>
      </c>
      <c r="K56" s="51" t="e">
        <f t="shared" si="2"/>
        <v>#REF!</v>
      </c>
      <c r="L56" s="51" t="e">
        <f t="shared" si="2"/>
        <v>#REF!</v>
      </c>
      <c r="M56" s="51" t="e">
        <f t="shared" si="2"/>
        <v>#REF!</v>
      </c>
      <c r="N56" s="51" t="e">
        <f t="shared" si="2"/>
        <v>#REF!</v>
      </c>
      <c r="O56" s="51" t="e">
        <f t="shared" si="2"/>
        <v>#REF!</v>
      </c>
      <c r="P56" s="51" t="e">
        <f t="shared" si="2"/>
        <v>#REF!</v>
      </c>
      <c r="Q56" s="51" t="e">
        <f t="shared" si="2"/>
        <v>#REF!</v>
      </c>
      <c r="R56" s="51" t="e">
        <f t="shared" si="2"/>
        <v>#REF!</v>
      </c>
      <c r="S56" s="51" t="e">
        <f t="shared" si="2"/>
        <v>#REF!</v>
      </c>
      <c r="T56" s="51" t="e">
        <f t="shared" si="2"/>
        <v>#REF!</v>
      </c>
      <c r="U56" s="61" t="e">
        <f t="shared" si="2"/>
        <v>#REF!</v>
      </c>
    </row>
    <row r="57" spans="1:21">
      <c r="A57" s="42"/>
      <c r="B57" s="51"/>
      <c r="C57" s="51"/>
      <c r="D57" s="51"/>
      <c r="E57" s="51"/>
      <c r="F57" s="51"/>
      <c r="G57" s="51"/>
      <c r="H57" s="51"/>
      <c r="I57" s="51"/>
      <c r="J57" s="51"/>
      <c r="K57" s="19"/>
      <c r="L57" s="19"/>
      <c r="M57" s="19"/>
      <c r="N57" s="19"/>
      <c r="O57" s="19"/>
      <c r="P57" s="19"/>
      <c r="Q57" s="19"/>
      <c r="R57" s="19"/>
      <c r="S57" s="19"/>
      <c r="T57" s="19"/>
      <c r="U57" s="67"/>
    </row>
    <row r="58" spans="1:21">
      <c r="A58" s="58" t="s">
        <v>32</v>
      </c>
      <c r="B58" s="51" t="e">
        <f ca="1">IF(B54="","",IF(B54&gt;=$B$28+1,-OFFSET(B55,0,-$B$28),0%))</f>
        <v>#REF!</v>
      </c>
      <c r="C58" s="51" t="e">
        <f t="shared" ref="C58:U58" ca="1" si="3">IF(C54="","",IF(C54&gt;=$B$28+1,-OFFSET(C55,0,-$B$28),0%))</f>
        <v>#REF!</v>
      </c>
      <c r="D58" s="51" t="e">
        <f t="shared" ca="1" si="3"/>
        <v>#REF!</v>
      </c>
      <c r="E58" s="51" t="e">
        <f t="shared" ca="1" si="3"/>
        <v>#REF!</v>
      </c>
      <c r="F58" s="51" t="e">
        <f t="shared" ca="1" si="3"/>
        <v>#REF!</v>
      </c>
      <c r="G58" s="51" t="e">
        <f t="shared" ca="1" si="3"/>
        <v>#REF!</v>
      </c>
      <c r="H58" s="51" t="e">
        <f t="shared" ca="1" si="3"/>
        <v>#REF!</v>
      </c>
      <c r="I58" s="51" t="e">
        <f t="shared" ca="1" si="3"/>
        <v>#REF!</v>
      </c>
      <c r="J58" s="51" t="e">
        <f t="shared" ca="1" si="3"/>
        <v>#REF!</v>
      </c>
      <c r="K58" s="51" t="e">
        <f t="shared" ca="1" si="3"/>
        <v>#REF!</v>
      </c>
      <c r="L58" s="51" t="e">
        <f t="shared" ca="1" si="3"/>
        <v>#REF!</v>
      </c>
      <c r="M58" s="51" t="e">
        <f t="shared" ca="1" si="3"/>
        <v>#REF!</v>
      </c>
      <c r="N58" s="51" t="e">
        <f t="shared" ca="1" si="3"/>
        <v>#REF!</v>
      </c>
      <c r="O58" s="51" t="e">
        <f t="shared" ca="1" si="3"/>
        <v>#REF!</v>
      </c>
      <c r="P58" s="51" t="e">
        <f t="shared" ca="1" si="3"/>
        <v>#REF!</v>
      </c>
      <c r="Q58" s="51" t="e">
        <f t="shared" ca="1" si="3"/>
        <v>#REF!</v>
      </c>
      <c r="R58" s="51" t="e">
        <f t="shared" ca="1" si="3"/>
        <v>#REF!</v>
      </c>
      <c r="S58" s="51" t="e">
        <f t="shared" ca="1" si="3"/>
        <v>#REF!</v>
      </c>
      <c r="T58" s="51" t="e">
        <f t="shared" ca="1" si="3"/>
        <v>#REF!</v>
      </c>
      <c r="U58" s="61" t="e">
        <f t="shared" ca="1" si="3"/>
        <v>#REF!</v>
      </c>
    </row>
    <row r="59" spans="1:21">
      <c r="A59" s="58" t="s">
        <v>6</v>
      </c>
      <c r="B59" s="51" t="e">
        <f>IF($B$54="","",0%)</f>
        <v>#REF!</v>
      </c>
      <c r="C59" s="51" t="e">
        <f>IF(C$54="","",B$59+C$58)</f>
        <v>#REF!</v>
      </c>
      <c r="D59" s="51" t="e">
        <f t="shared" ref="D59:U59" si="4">IF(D$54="","",C$59+D$58)</f>
        <v>#REF!</v>
      </c>
      <c r="E59" s="51" t="e">
        <f t="shared" si="4"/>
        <v>#REF!</v>
      </c>
      <c r="F59" s="51" t="e">
        <f t="shared" si="4"/>
        <v>#REF!</v>
      </c>
      <c r="G59" s="51" t="e">
        <f t="shared" si="4"/>
        <v>#REF!</v>
      </c>
      <c r="H59" s="51" t="e">
        <f t="shared" si="4"/>
        <v>#REF!</v>
      </c>
      <c r="I59" s="51" t="e">
        <f t="shared" si="4"/>
        <v>#REF!</v>
      </c>
      <c r="J59" s="51" t="e">
        <f t="shared" si="4"/>
        <v>#REF!</v>
      </c>
      <c r="K59" s="51" t="e">
        <f t="shared" si="4"/>
        <v>#REF!</v>
      </c>
      <c r="L59" s="51" t="e">
        <f t="shared" si="4"/>
        <v>#REF!</v>
      </c>
      <c r="M59" s="51" t="e">
        <f t="shared" si="4"/>
        <v>#REF!</v>
      </c>
      <c r="N59" s="51" t="e">
        <f t="shared" si="4"/>
        <v>#REF!</v>
      </c>
      <c r="O59" s="51" t="e">
        <f t="shared" si="4"/>
        <v>#REF!</v>
      </c>
      <c r="P59" s="51" t="e">
        <f t="shared" si="4"/>
        <v>#REF!</v>
      </c>
      <c r="Q59" s="51" t="e">
        <f t="shared" si="4"/>
        <v>#REF!</v>
      </c>
      <c r="R59" s="51" t="e">
        <f t="shared" si="4"/>
        <v>#REF!</v>
      </c>
      <c r="S59" s="51" t="e">
        <f t="shared" si="4"/>
        <v>#REF!</v>
      </c>
      <c r="T59" s="51" t="e">
        <f t="shared" si="4"/>
        <v>#REF!</v>
      </c>
      <c r="U59" s="61" t="e">
        <f t="shared" si="4"/>
        <v>#REF!</v>
      </c>
    </row>
    <row r="60" spans="1:21">
      <c r="A60" s="58"/>
      <c r="B60" s="51"/>
      <c r="C60" s="51"/>
      <c r="D60" s="51"/>
      <c r="E60" s="51"/>
      <c r="F60" s="51"/>
      <c r="G60" s="51"/>
      <c r="H60" s="51"/>
      <c r="I60" s="51"/>
      <c r="J60" s="51"/>
      <c r="K60" s="19"/>
      <c r="L60" s="19"/>
      <c r="M60" s="19"/>
      <c r="N60" s="19"/>
      <c r="O60" s="19"/>
      <c r="P60" s="19"/>
      <c r="Q60" s="19"/>
      <c r="R60" s="19"/>
      <c r="S60" s="19"/>
      <c r="T60" s="19"/>
      <c r="U60" s="67"/>
    </row>
    <row r="61" spans="1:21">
      <c r="A61" s="62" t="s">
        <v>34</v>
      </c>
      <c r="B61" s="51" t="e">
        <f ca="1">IF(B54="","",IF(B54=1,0%,OFFSET(B56,0,-1)+(OFFSET(B59,0,-1))))</f>
        <v>#REF!</v>
      </c>
      <c r="C61" s="51" t="e">
        <f t="shared" ref="C61:U61" ca="1" si="5">IF(C54="","",IF(C54=1,0%,OFFSET(C56,0,-1)+(OFFSET(C59,0,-1))))</f>
        <v>#REF!</v>
      </c>
      <c r="D61" s="51" t="e">
        <f t="shared" ca="1" si="5"/>
        <v>#REF!</v>
      </c>
      <c r="E61" s="51" t="e">
        <f t="shared" ca="1" si="5"/>
        <v>#REF!</v>
      </c>
      <c r="F61" s="51" t="e">
        <f t="shared" ca="1" si="5"/>
        <v>#REF!</v>
      </c>
      <c r="G61" s="51" t="e">
        <f t="shared" ca="1" si="5"/>
        <v>#REF!</v>
      </c>
      <c r="H61" s="51" t="e">
        <f t="shared" ca="1" si="5"/>
        <v>#REF!</v>
      </c>
      <c r="I61" s="51" t="e">
        <f t="shared" ca="1" si="5"/>
        <v>#REF!</v>
      </c>
      <c r="J61" s="51" t="e">
        <f t="shared" ca="1" si="5"/>
        <v>#REF!</v>
      </c>
      <c r="K61" s="51" t="e">
        <f t="shared" ca="1" si="5"/>
        <v>#REF!</v>
      </c>
      <c r="L61" s="51" t="e">
        <f t="shared" ca="1" si="5"/>
        <v>#REF!</v>
      </c>
      <c r="M61" s="51" t="e">
        <f t="shared" ca="1" si="5"/>
        <v>#REF!</v>
      </c>
      <c r="N61" s="51" t="e">
        <f t="shared" ca="1" si="5"/>
        <v>#REF!</v>
      </c>
      <c r="O61" s="51" t="e">
        <f t="shared" ca="1" si="5"/>
        <v>#REF!</v>
      </c>
      <c r="P61" s="51" t="e">
        <f t="shared" ca="1" si="5"/>
        <v>#REF!</v>
      </c>
      <c r="Q61" s="51" t="e">
        <f t="shared" ca="1" si="5"/>
        <v>#REF!</v>
      </c>
      <c r="R61" s="51" t="e">
        <f t="shared" ca="1" si="5"/>
        <v>#REF!</v>
      </c>
      <c r="S61" s="51" t="e">
        <f t="shared" ca="1" si="5"/>
        <v>#REF!</v>
      </c>
      <c r="T61" s="51" t="e">
        <f t="shared" ca="1" si="5"/>
        <v>#REF!</v>
      </c>
      <c r="U61" s="61" t="e">
        <f t="shared" ca="1" si="5"/>
        <v>#REF!</v>
      </c>
    </row>
    <row r="62" spans="1:21" ht="15" thickBot="1">
      <c r="A62" s="63" t="s">
        <v>7</v>
      </c>
      <c r="B62" s="52" t="e">
        <f>IF(B$54="","",B$56+B$59)</f>
        <v>#REF!</v>
      </c>
      <c r="C62" s="52" t="e">
        <f t="shared" ref="C62:U62" si="6">IF(C$54="","",C$56+C$59)</f>
        <v>#REF!</v>
      </c>
      <c r="D62" s="52" t="e">
        <f t="shared" si="6"/>
        <v>#REF!</v>
      </c>
      <c r="E62" s="52" t="e">
        <f t="shared" si="6"/>
        <v>#REF!</v>
      </c>
      <c r="F62" s="52" t="e">
        <f t="shared" si="6"/>
        <v>#REF!</v>
      </c>
      <c r="G62" s="52" t="e">
        <f t="shared" si="6"/>
        <v>#REF!</v>
      </c>
      <c r="H62" s="52" t="e">
        <f t="shared" si="6"/>
        <v>#REF!</v>
      </c>
      <c r="I62" s="52" t="e">
        <f t="shared" si="6"/>
        <v>#REF!</v>
      </c>
      <c r="J62" s="52" t="e">
        <f t="shared" si="6"/>
        <v>#REF!</v>
      </c>
      <c r="K62" s="52" t="e">
        <f t="shared" si="6"/>
        <v>#REF!</v>
      </c>
      <c r="L62" s="52" t="e">
        <f t="shared" si="6"/>
        <v>#REF!</v>
      </c>
      <c r="M62" s="52" t="e">
        <f t="shared" si="6"/>
        <v>#REF!</v>
      </c>
      <c r="N62" s="52" t="e">
        <f t="shared" si="6"/>
        <v>#REF!</v>
      </c>
      <c r="O62" s="52" t="e">
        <f t="shared" si="6"/>
        <v>#REF!</v>
      </c>
      <c r="P62" s="52" t="e">
        <f t="shared" si="6"/>
        <v>#REF!</v>
      </c>
      <c r="Q62" s="52" t="e">
        <f t="shared" si="6"/>
        <v>#REF!</v>
      </c>
      <c r="R62" s="52" t="e">
        <f t="shared" si="6"/>
        <v>#REF!</v>
      </c>
      <c r="S62" s="52" t="e">
        <f t="shared" si="6"/>
        <v>#REF!</v>
      </c>
      <c r="T62" s="52" t="e">
        <f t="shared" si="6"/>
        <v>#REF!</v>
      </c>
      <c r="U62" s="64" t="e">
        <f t="shared" si="6"/>
        <v>#REF!</v>
      </c>
    </row>
    <row r="63" spans="1:21" ht="15" thickBot="1">
      <c r="B63" s="8"/>
      <c r="C63" s="8"/>
      <c r="D63" s="8"/>
      <c r="E63" s="8"/>
      <c r="F63" s="8"/>
      <c r="G63" s="8"/>
      <c r="H63" s="8"/>
      <c r="I63" s="8"/>
      <c r="J63" s="8"/>
    </row>
    <row r="64" spans="1:21">
      <c r="A64" s="104" t="s">
        <v>8</v>
      </c>
      <c r="B64" s="103"/>
      <c r="C64" s="102"/>
      <c r="D64" s="101"/>
      <c r="E64" s="101"/>
      <c r="F64" s="101"/>
      <c r="G64" s="101"/>
      <c r="H64" s="101"/>
      <c r="I64" s="101"/>
      <c r="J64" s="101"/>
      <c r="K64" s="101"/>
      <c r="L64" s="101"/>
      <c r="M64" s="101"/>
      <c r="N64" s="101"/>
      <c r="O64" s="101"/>
      <c r="P64" s="101"/>
      <c r="Q64" s="101"/>
      <c r="R64" s="101"/>
      <c r="S64" s="101"/>
      <c r="T64" s="101"/>
      <c r="U64" s="44"/>
    </row>
    <row r="65" spans="1:22">
      <c r="A65" s="100" t="s">
        <v>23</v>
      </c>
      <c r="B65" s="19"/>
      <c r="C65" s="145"/>
      <c r="D65" s="19"/>
      <c r="E65" s="19"/>
      <c r="F65" s="19"/>
      <c r="G65" s="19"/>
      <c r="H65" s="19"/>
      <c r="I65" s="19"/>
      <c r="J65" s="19"/>
      <c r="K65" s="19"/>
      <c r="L65" s="19"/>
      <c r="M65" s="19"/>
      <c r="N65" s="19"/>
      <c r="O65" s="19"/>
      <c r="P65" s="19"/>
      <c r="Q65" s="19"/>
      <c r="R65" s="19"/>
      <c r="S65" s="19"/>
      <c r="T65" s="19"/>
      <c r="U65" s="67"/>
    </row>
    <row r="66" spans="1:22">
      <c r="A66" s="42" t="s">
        <v>1</v>
      </c>
      <c r="B66" s="71" t="e">
        <f t="shared" ref="B66:U66" si="7">IF(SUM($B$27:$B$28)+$B$11+1&gt;=B$158,B$158,"")</f>
        <v>#REF!</v>
      </c>
      <c r="C66" s="71" t="e">
        <f t="shared" si="7"/>
        <v>#REF!</v>
      </c>
      <c r="D66" s="71" t="e">
        <f t="shared" si="7"/>
        <v>#REF!</v>
      </c>
      <c r="E66" s="71" t="e">
        <f t="shared" si="7"/>
        <v>#REF!</v>
      </c>
      <c r="F66" s="71" t="e">
        <f t="shared" si="7"/>
        <v>#REF!</v>
      </c>
      <c r="G66" s="71" t="e">
        <f t="shared" si="7"/>
        <v>#REF!</v>
      </c>
      <c r="H66" s="71" t="e">
        <f t="shared" si="7"/>
        <v>#REF!</v>
      </c>
      <c r="I66" s="71" t="e">
        <f t="shared" si="7"/>
        <v>#REF!</v>
      </c>
      <c r="J66" s="71" t="e">
        <f t="shared" si="7"/>
        <v>#REF!</v>
      </c>
      <c r="K66" s="71" t="e">
        <f t="shared" si="7"/>
        <v>#REF!</v>
      </c>
      <c r="L66" s="71" t="e">
        <f t="shared" si="7"/>
        <v>#REF!</v>
      </c>
      <c r="M66" s="71" t="e">
        <f t="shared" si="7"/>
        <v>#REF!</v>
      </c>
      <c r="N66" s="71" t="e">
        <f t="shared" si="7"/>
        <v>#REF!</v>
      </c>
      <c r="O66" s="71" t="e">
        <f t="shared" si="7"/>
        <v>#REF!</v>
      </c>
      <c r="P66" s="71" t="e">
        <f t="shared" si="7"/>
        <v>#REF!</v>
      </c>
      <c r="Q66" s="71" t="e">
        <f t="shared" si="7"/>
        <v>#REF!</v>
      </c>
      <c r="R66" s="71" t="e">
        <f t="shared" si="7"/>
        <v>#REF!</v>
      </c>
      <c r="S66" s="71" t="e">
        <f t="shared" si="7"/>
        <v>#REF!</v>
      </c>
      <c r="T66" s="71" t="e">
        <f t="shared" si="7"/>
        <v>#REF!</v>
      </c>
      <c r="U66" s="72" t="e">
        <f t="shared" si="7"/>
        <v>#REF!</v>
      </c>
    </row>
    <row r="67" spans="1:22">
      <c r="A67" s="42" t="s">
        <v>33</v>
      </c>
      <c r="B67" s="51">
        <v>1</v>
      </c>
      <c r="C67" s="51" t="e">
        <f t="shared" ref="C67:U67" si="8">IF(C$66=(SUM($B$27:$B$28)+$B$11+1),0%,IF(C66="","",IF(B$58=0,100%,IF(B$67=100%,$D$15*B$67+B$58,B$67+B$58))))</f>
        <v>#REF!</v>
      </c>
      <c r="D67" s="51" t="e">
        <f t="shared" si="8"/>
        <v>#REF!</v>
      </c>
      <c r="E67" s="51" t="e">
        <f t="shared" si="8"/>
        <v>#REF!</v>
      </c>
      <c r="F67" s="51" t="e">
        <f t="shared" si="8"/>
        <v>#REF!</v>
      </c>
      <c r="G67" s="51" t="e">
        <f t="shared" si="8"/>
        <v>#REF!</v>
      </c>
      <c r="H67" s="51" t="e">
        <f t="shared" si="8"/>
        <v>#REF!</v>
      </c>
      <c r="I67" s="51" t="e">
        <f t="shared" si="8"/>
        <v>#REF!</v>
      </c>
      <c r="J67" s="51" t="e">
        <f t="shared" si="8"/>
        <v>#REF!</v>
      </c>
      <c r="K67" s="51" t="e">
        <f t="shared" si="8"/>
        <v>#REF!</v>
      </c>
      <c r="L67" s="51" t="e">
        <f t="shared" si="8"/>
        <v>#REF!</v>
      </c>
      <c r="M67" s="51" t="e">
        <f t="shared" si="8"/>
        <v>#REF!</v>
      </c>
      <c r="N67" s="51" t="e">
        <f t="shared" si="8"/>
        <v>#REF!</v>
      </c>
      <c r="O67" s="51" t="e">
        <f t="shared" si="8"/>
        <v>#REF!</v>
      </c>
      <c r="P67" s="51" t="e">
        <f t="shared" si="8"/>
        <v>#REF!</v>
      </c>
      <c r="Q67" s="51" t="e">
        <f t="shared" si="8"/>
        <v>#REF!</v>
      </c>
      <c r="R67" s="51" t="e">
        <f t="shared" si="8"/>
        <v>#REF!</v>
      </c>
      <c r="S67" s="51" t="e">
        <f t="shared" si="8"/>
        <v>#REF!</v>
      </c>
      <c r="T67" s="51" t="e">
        <f t="shared" si="8"/>
        <v>#REF!</v>
      </c>
      <c r="U67" s="61" t="e">
        <f t="shared" si="8"/>
        <v>#REF!</v>
      </c>
    </row>
    <row r="68" spans="1:22">
      <c r="A68" s="74" t="s">
        <v>29</v>
      </c>
      <c r="B68" s="73" t="e">
        <f ca="1">IF(B$66="","",IF(#REF!&lt;=B$66,OFFSET(B$68,0,-1)*#REF!,$B$17))</f>
        <v>#REF!</v>
      </c>
      <c r="C68" s="73" t="e">
        <f ca="1">IF(C$66="","",IF(#REF!&lt;=C$66,OFFSET(C$68,0,-1)*#REF!,$B$17))</f>
        <v>#REF!</v>
      </c>
      <c r="D68" s="73" t="e">
        <f ca="1">IF(D$66="","",IF(#REF!&lt;=D$66,OFFSET(D$68,0,-1)*#REF!,$B$17))</f>
        <v>#REF!</v>
      </c>
      <c r="E68" s="73" t="e">
        <f ca="1">IF(E$66="","",IF(#REF!&lt;=E$66,OFFSET(E$68,0,-1)*#REF!,$B$17))</f>
        <v>#REF!</v>
      </c>
      <c r="F68" s="73" t="e">
        <f ca="1">IF(F$66="","",IF(#REF!&lt;=F$66,OFFSET(F$68,0,-1)*#REF!,$B$17))</f>
        <v>#REF!</v>
      </c>
      <c r="G68" s="73" t="e">
        <f ca="1">IF(G$66="","",IF(#REF!&lt;=G$66,OFFSET(G$68,0,-1)*#REF!,$B$17))</f>
        <v>#REF!</v>
      </c>
      <c r="H68" s="73" t="e">
        <f ca="1">IF(H$66="","",IF(#REF!&lt;=H$66,OFFSET(H$68,0,-1)*#REF!,$B$17))</f>
        <v>#REF!</v>
      </c>
      <c r="I68" s="73" t="e">
        <f ca="1">IF(I$66="","",IF(#REF!&lt;=I$66,OFFSET(I$68,0,-1)*#REF!,$B$17))</f>
        <v>#REF!</v>
      </c>
      <c r="J68" s="73" t="e">
        <f ca="1">IF(J$66="","",IF(#REF!&lt;=J$66,OFFSET(J$68,0,-1)*#REF!,$B$17))</f>
        <v>#REF!</v>
      </c>
      <c r="K68" s="73" t="e">
        <f ca="1">IF(K$66="","",IF(#REF!&lt;=K$66,OFFSET(K$68,0,-1)*#REF!,$B$17))</f>
        <v>#REF!</v>
      </c>
      <c r="L68" s="73" t="e">
        <f ca="1">IF(L$66="","",IF(#REF!&lt;=L$66,OFFSET(L$68,0,-1)*#REF!,$B$17))</f>
        <v>#REF!</v>
      </c>
      <c r="M68" s="73" t="e">
        <f ca="1">IF(M$66="","",IF(#REF!&lt;=M$66,OFFSET(M$68,0,-1)*#REF!,$B$17))</f>
        <v>#REF!</v>
      </c>
      <c r="N68" s="73" t="e">
        <f ca="1">IF(N$66="","",IF(#REF!&lt;=N$66,OFFSET(N$68,0,-1)*#REF!,$B$17))</f>
        <v>#REF!</v>
      </c>
      <c r="O68" s="73" t="e">
        <f ca="1">IF(O$66="","",IF(#REF!&lt;=O$66,OFFSET(O$68,0,-1)*#REF!,$B$17))</f>
        <v>#REF!</v>
      </c>
      <c r="P68" s="73" t="e">
        <f ca="1">IF(P$66="","",IF(#REF!&lt;=P$66,OFFSET(P$68,0,-1)*#REF!,$B$17))</f>
        <v>#REF!</v>
      </c>
      <c r="Q68" s="73" t="e">
        <f ca="1">IF(Q$66="","",IF(#REF!&lt;=Q$66,OFFSET(Q$68,0,-1)*#REF!,$B$17))</f>
        <v>#REF!</v>
      </c>
      <c r="R68" s="73" t="e">
        <f ca="1">IF(R$66="","",IF(#REF!&lt;=R$66,OFFSET(R$68,0,-1)*#REF!,$B$17))</f>
        <v>#REF!</v>
      </c>
      <c r="S68" s="73" t="e">
        <f ca="1">IF(S$66="","",IF(#REF!&lt;=S$66,OFFSET(S$68,0,-1)*#REF!,$B$17))</f>
        <v>#REF!</v>
      </c>
      <c r="T68" s="73" t="e">
        <f ca="1">IF(T$66="","",IF(#REF!&lt;=T$66,OFFSET(T$68,0,-1)*#REF!,$B$17))</f>
        <v>#REF!</v>
      </c>
      <c r="U68" s="45" t="e">
        <f ca="1">IF(U$66="","",IF(#REF!&lt;=U$66,OFFSET(U$68,0,-1)*#REF!,$B$17))</f>
        <v>#REF!</v>
      </c>
    </row>
    <row r="69" spans="1:22">
      <c r="A69" s="74"/>
      <c r="B69" s="73"/>
      <c r="C69" s="73"/>
      <c r="D69" s="73"/>
      <c r="E69" s="73"/>
      <c r="F69" s="73"/>
      <c r="G69" s="73"/>
      <c r="H69" s="73"/>
      <c r="I69" s="73"/>
      <c r="J69" s="73"/>
      <c r="K69" s="19"/>
      <c r="L69" s="19"/>
      <c r="M69" s="19"/>
      <c r="N69" s="19"/>
      <c r="O69" s="19"/>
      <c r="P69" s="19"/>
      <c r="Q69" s="19"/>
      <c r="R69" s="19"/>
      <c r="S69" s="19"/>
      <c r="T69" s="19"/>
      <c r="U69" s="67"/>
    </row>
    <row r="70" spans="1:22">
      <c r="A70" s="100" t="s">
        <v>24</v>
      </c>
      <c r="B70" s="19"/>
      <c r="C70" s="146"/>
      <c r="D70" s="19"/>
      <c r="E70" s="19"/>
      <c r="F70" s="19"/>
      <c r="G70" s="19"/>
      <c r="H70" s="19"/>
      <c r="I70" s="19"/>
      <c r="J70" s="19"/>
      <c r="K70" s="19"/>
      <c r="L70" s="19"/>
      <c r="M70" s="19"/>
      <c r="N70" s="19"/>
      <c r="O70" s="19"/>
      <c r="P70" s="19"/>
      <c r="Q70" s="19"/>
      <c r="R70" s="19"/>
      <c r="S70" s="19"/>
      <c r="T70" s="19"/>
      <c r="U70" s="67"/>
    </row>
    <row r="71" spans="1:22">
      <c r="A71" s="42" t="s">
        <v>1</v>
      </c>
      <c r="B71" s="71" t="e">
        <f t="shared" ref="B71:U71" si="9">IF(SUM($B$27:$B$28)+$B$11+1&gt;=B$158,B$158,"")</f>
        <v>#REF!</v>
      </c>
      <c r="C71" s="71" t="e">
        <f t="shared" si="9"/>
        <v>#REF!</v>
      </c>
      <c r="D71" s="71" t="e">
        <f t="shared" si="9"/>
        <v>#REF!</v>
      </c>
      <c r="E71" s="71" t="e">
        <f t="shared" si="9"/>
        <v>#REF!</v>
      </c>
      <c r="F71" s="71" t="e">
        <f t="shared" si="9"/>
        <v>#REF!</v>
      </c>
      <c r="G71" s="71" t="e">
        <f t="shared" si="9"/>
        <v>#REF!</v>
      </c>
      <c r="H71" s="71" t="e">
        <f t="shared" si="9"/>
        <v>#REF!</v>
      </c>
      <c r="I71" s="71" t="e">
        <f t="shared" si="9"/>
        <v>#REF!</v>
      </c>
      <c r="J71" s="71" t="e">
        <f t="shared" si="9"/>
        <v>#REF!</v>
      </c>
      <c r="K71" s="71" t="e">
        <f t="shared" si="9"/>
        <v>#REF!</v>
      </c>
      <c r="L71" s="71" t="e">
        <f t="shared" si="9"/>
        <v>#REF!</v>
      </c>
      <c r="M71" s="71" t="e">
        <f t="shared" si="9"/>
        <v>#REF!</v>
      </c>
      <c r="N71" s="71" t="e">
        <f t="shared" si="9"/>
        <v>#REF!</v>
      </c>
      <c r="O71" s="71" t="e">
        <f t="shared" si="9"/>
        <v>#REF!</v>
      </c>
      <c r="P71" s="71" t="e">
        <f t="shared" si="9"/>
        <v>#REF!</v>
      </c>
      <c r="Q71" s="71" t="e">
        <f t="shared" si="9"/>
        <v>#REF!</v>
      </c>
      <c r="R71" s="71" t="e">
        <f t="shared" si="9"/>
        <v>#REF!</v>
      </c>
      <c r="S71" s="71" t="e">
        <f t="shared" si="9"/>
        <v>#REF!</v>
      </c>
      <c r="T71" s="71" t="e">
        <f t="shared" si="9"/>
        <v>#REF!</v>
      </c>
      <c r="U71" s="72" t="e">
        <f t="shared" si="9"/>
        <v>#REF!</v>
      </c>
    </row>
    <row r="72" spans="1:22">
      <c r="A72" s="32" t="s">
        <v>33</v>
      </c>
      <c r="B72" s="51" t="e">
        <f t="shared" ref="B72:U72" ca="1" si="10">IF(B$71="","",IF(B$23&lt;&gt;"",B$23,IF(A$23&lt;&gt;"",A$23,A$72-(-OFFSET(B$22,-5,0))*(1-$D$38)+A$58)))</f>
        <v>#REF!</v>
      </c>
      <c r="C72" s="51" t="e">
        <f t="shared" ca="1" si="10"/>
        <v>#REF!</v>
      </c>
      <c r="D72" s="51" t="e">
        <f t="shared" ca="1" si="10"/>
        <v>#REF!</v>
      </c>
      <c r="E72" s="51" t="e">
        <f t="shared" ca="1" si="10"/>
        <v>#REF!</v>
      </c>
      <c r="F72" s="51" t="e">
        <f t="shared" ca="1" si="10"/>
        <v>#REF!</v>
      </c>
      <c r="G72" s="51" t="e">
        <f t="shared" ca="1" si="10"/>
        <v>#REF!</v>
      </c>
      <c r="H72" s="51" t="e">
        <f t="shared" ca="1" si="10"/>
        <v>#REF!</v>
      </c>
      <c r="I72" s="51" t="e">
        <f t="shared" ca="1" si="10"/>
        <v>#REF!</v>
      </c>
      <c r="J72" s="51" t="e">
        <f t="shared" ca="1" si="10"/>
        <v>#REF!</v>
      </c>
      <c r="K72" s="51" t="e">
        <f t="shared" ca="1" si="10"/>
        <v>#REF!</v>
      </c>
      <c r="L72" s="51" t="e">
        <f t="shared" ca="1" si="10"/>
        <v>#REF!</v>
      </c>
      <c r="M72" s="51" t="e">
        <f t="shared" ca="1" si="10"/>
        <v>#REF!</v>
      </c>
      <c r="N72" s="51" t="e">
        <f t="shared" ca="1" si="10"/>
        <v>#REF!</v>
      </c>
      <c r="O72" s="51" t="e">
        <f t="shared" ca="1" si="10"/>
        <v>#REF!</v>
      </c>
      <c r="P72" s="51" t="e">
        <f t="shared" ca="1" si="10"/>
        <v>#REF!</v>
      </c>
      <c r="Q72" s="51" t="e">
        <f t="shared" ca="1" si="10"/>
        <v>#REF!</v>
      </c>
      <c r="R72" s="51" t="e">
        <f t="shared" ca="1" si="10"/>
        <v>#REF!</v>
      </c>
      <c r="S72" s="51" t="e">
        <f t="shared" ca="1" si="10"/>
        <v>#REF!</v>
      </c>
      <c r="T72" s="51" t="e">
        <f t="shared" ca="1" si="10"/>
        <v>#REF!</v>
      </c>
      <c r="U72" s="61" t="e">
        <f t="shared" ca="1" si="10"/>
        <v>#REF!</v>
      </c>
    </row>
    <row r="73" spans="1:22">
      <c r="A73" s="74" t="s">
        <v>29</v>
      </c>
      <c r="B73" s="73" t="e">
        <f>IF(B$71="","",$B$40)</f>
        <v>#REF!</v>
      </c>
      <c r="C73" s="73" t="e">
        <f t="shared" ref="C73:U73" si="11">IF(C$71="","",$B$40)</f>
        <v>#REF!</v>
      </c>
      <c r="D73" s="73" t="e">
        <f t="shared" si="11"/>
        <v>#REF!</v>
      </c>
      <c r="E73" s="73" t="e">
        <f t="shared" si="11"/>
        <v>#REF!</v>
      </c>
      <c r="F73" s="73" t="e">
        <f t="shared" si="11"/>
        <v>#REF!</v>
      </c>
      <c r="G73" s="73" t="e">
        <f t="shared" si="11"/>
        <v>#REF!</v>
      </c>
      <c r="H73" s="73" t="e">
        <f t="shared" si="11"/>
        <v>#REF!</v>
      </c>
      <c r="I73" s="73" t="e">
        <f t="shared" si="11"/>
        <v>#REF!</v>
      </c>
      <c r="J73" s="73" t="e">
        <f t="shared" si="11"/>
        <v>#REF!</v>
      </c>
      <c r="K73" s="73" t="e">
        <f t="shared" si="11"/>
        <v>#REF!</v>
      </c>
      <c r="L73" s="73" t="e">
        <f t="shared" si="11"/>
        <v>#REF!</v>
      </c>
      <c r="M73" s="73" t="e">
        <f t="shared" si="11"/>
        <v>#REF!</v>
      </c>
      <c r="N73" s="73" t="e">
        <f t="shared" si="11"/>
        <v>#REF!</v>
      </c>
      <c r="O73" s="73" t="e">
        <f t="shared" si="11"/>
        <v>#REF!</v>
      </c>
      <c r="P73" s="73" t="e">
        <f t="shared" si="11"/>
        <v>#REF!</v>
      </c>
      <c r="Q73" s="73" t="e">
        <f t="shared" si="11"/>
        <v>#REF!</v>
      </c>
      <c r="R73" s="73" t="e">
        <f t="shared" si="11"/>
        <v>#REF!</v>
      </c>
      <c r="S73" s="73" t="e">
        <f t="shared" si="11"/>
        <v>#REF!</v>
      </c>
      <c r="T73" s="73" t="e">
        <f t="shared" si="11"/>
        <v>#REF!</v>
      </c>
      <c r="U73" s="45" t="e">
        <f t="shared" si="11"/>
        <v>#REF!</v>
      </c>
    </row>
    <row r="74" spans="1:22">
      <c r="A74" s="74" t="s">
        <v>51</v>
      </c>
      <c r="B74" s="73" t="e">
        <f>IF(B$71="","",IF(B$71&gt;$B$27,$E$80,0%))</f>
        <v>#REF!</v>
      </c>
      <c r="C74" s="73" t="e">
        <f t="shared" ref="C74:U74" si="12">IF(C$71="","",IF(C$71&gt;$B$27,$E$80,0%))</f>
        <v>#REF!</v>
      </c>
      <c r="D74" s="73" t="e">
        <f t="shared" si="12"/>
        <v>#REF!</v>
      </c>
      <c r="E74" s="73" t="e">
        <f t="shared" si="12"/>
        <v>#REF!</v>
      </c>
      <c r="F74" s="73" t="e">
        <f t="shared" si="12"/>
        <v>#REF!</v>
      </c>
      <c r="G74" s="73" t="e">
        <f t="shared" si="12"/>
        <v>#REF!</v>
      </c>
      <c r="H74" s="73" t="e">
        <f t="shared" si="12"/>
        <v>#REF!</v>
      </c>
      <c r="I74" s="73" t="e">
        <f t="shared" si="12"/>
        <v>#REF!</v>
      </c>
      <c r="J74" s="73" t="e">
        <f t="shared" si="12"/>
        <v>#REF!</v>
      </c>
      <c r="K74" s="73" t="e">
        <f t="shared" si="12"/>
        <v>#REF!</v>
      </c>
      <c r="L74" s="73" t="e">
        <f t="shared" si="12"/>
        <v>#REF!</v>
      </c>
      <c r="M74" s="73" t="e">
        <f t="shared" si="12"/>
        <v>#REF!</v>
      </c>
      <c r="N74" s="73" t="e">
        <f t="shared" si="12"/>
        <v>#REF!</v>
      </c>
      <c r="O74" s="73" t="e">
        <f t="shared" si="12"/>
        <v>#REF!</v>
      </c>
      <c r="P74" s="73" t="e">
        <f t="shared" si="12"/>
        <v>#REF!</v>
      </c>
      <c r="Q74" s="73" t="e">
        <f t="shared" si="12"/>
        <v>#REF!</v>
      </c>
      <c r="R74" s="73" t="e">
        <f t="shared" si="12"/>
        <v>#REF!</v>
      </c>
      <c r="S74" s="73" t="e">
        <f t="shared" si="12"/>
        <v>#REF!</v>
      </c>
      <c r="T74" s="73" t="e">
        <f t="shared" si="12"/>
        <v>#REF!</v>
      </c>
      <c r="U74" s="45" t="e">
        <f t="shared" si="12"/>
        <v>#REF!</v>
      </c>
      <c r="V74" s="73"/>
    </row>
    <row r="75" spans="1:22" ht="15" thickBot="1">
      <c r="A75" s="75" t="s">
        <v>63</v>
      </c>
      <c r="B75" s="76" t="e">
        <f>IF(B$71="","",B$68+B$73)</f>
        <v>#REF!</v>
      </c>
      <c r="C75" s="76" t="e">
        <f t="shared" ref="C75:U75" si="13">IF(C$71="","",C$68+C$73)</f>
        <v>#REF!</v>
      </c>
      <c r="D75" s="76" t="e">
        <f t="shared" si="13"/>
        <v>#REF!</v>
      </c>
      <c r="E75" s="76" t="e">
        <f t="shared" si="13"/>
        <v>#REF!</v>
      </c>
      <c r="F75" s="76" t="e">
        <f t="shared" si="13"/>
        <v>#REF!</v>
      </c>
      <c r="G75" s="76" t="e">
        <f t="shared" si="13"/>
        <v>#REF!</v>
      </c>
      <c r="H75" s="76" t="e">
        <f t="shared" si="13"/>
        <v>#REF!</v>
      </c>
      <c r="I75" s="76" t="e">
        <f t="shared" si="13"/>
        <v>#REF!</v>
      </c>
      <c r="J75" s="76" t="e">
        <f t="shared" si="13"/>
        <v>#REF!</v>
      </c>
      <c r="K75" s="76" t="e">
        <f t="shared" si="13"/>
        <v>#REF!</v>
      </c>
      <c r="L75" s="76" t="e">
        <f t="shared" si="13"/>
        <v>#REF!</v>
      </c>
      <c r="M75" s="76" t="e">
        <f t="shared" si="13"/>
        <v>#REF!</v>
      </c>
      <c r="N75" s="76" t="e">
        <f t="shared" si="13"/>
        <v>#REF!</v>
      </c>
      <c r="O75" s="76" t="e">
        <f t="shared" si="13"/>
        <v>#REF!</v>
      </c>
      <c r="P75" s="76" t="e">
        <f t="shared" si="13"/>
        <v>#REF!</v>
      </c>
      <c r="Q75" s="76" t="e">
        <f t="shared" si="13"/>
        <v>#REF!</v>
      </c>
      <c r="R75" s="76" t="e">
        <f t="shared" si="13"/>
        <v>#REF!</v>
      </c>
      <c r="S75" s="76" t="e">
        <f t="shared" si="13"/>
        <v>#REF!</v>
      </c>
      <c r="T75" s="76" t="e">
        <f t="shared" si="13"/>
        <v>#REF!</v>
      </c>
      <c r="U75" s="46" t="e">
        <f t="shared" si="13"/>
        <v>#REF!</v>
      </c>
      <c r="V75" s="73"/>
    </row>
    <row r="76" spans="1:22">
      <c r="A76" s="74"/>
      <c r="B76" s="73"/>
      <c r="C76" s="73"/>
      <c r="D76" s="73"/>
      <c r="E76" s="73"/>
      <c r="F76" s="73"/>
      <c r="G76" s="73"/>
      <c r="H76" s="73"/>
      <c r="I76" s="73"/>
      <c r="J76" s="73"/>
      <c r="K76" s="73"/>
      <c r="L76" s="73"/>
      <c r="M76" s="73"/>
      <c r="N76" s="73"/>
      <c r="O76" s="73"/>
      <c r="P76" s="73"/>
      <c r="Q76" s="73"/>
      <c r="R76" s="73"/>
      <c r="S76" s="73"/>
      <c r="T76" s="73"/>
      <c r="U76" s="73"/>
      <c r="V76" s="73"/>
    </row>
    <row r="77" spans="1:22" ht="15" thickBot="1">
      <c r="B77" s="25"/>
    </row>
    <row r="78" spans="1:22" ht="18">
      <c r="A78" s="131"/>
      <c r="B78" s="132" t="s">
        <v>36</v>
      </c>
      <c r="C78" s="132" t="s">
        <v>38</v>
      </c>
      <c r="D78" s="132" t="s">
        <v>37</v>
      </c>
      <c r="E78" s="133" t="s">
        <v>39</v>
      </c>
      <c r="F78" s="134" t="s">
        <v>40</v>
      </c>
    </row>
    <row r="79" spans="1:22" ht="15">
      <c r="A79" s="135" t="s">
        <v>41</v>
      </c>
      <c r="B79" s="136" t="e">
        <f>$B$33</f>
        <v>#REF!</v>
      </c>
      <c r="C79" s="136" t="e">
        <f>$B$32</f>
        <v>#REF!</v>
      </c>
      <c r="D79" s="136" t="e">
        <f>$B$34</f>
        <v>#REF!</v>
      </c>
      <c r="E79" s="136"/>
      <c r="F79" s="137"/>
      <c r="G79" s="22"/>
      <c r="H79" s="22"/>
      <c r="I79" s="22"/>
      <c r="J79" s="22"/>
      <c r="K79" s="22"/>
      <c r="L79" s="22"/>
      <c r="M79" s="22"/>
      <c r="N79" s="23"/>
      <c r="O79" s="22"/>
      <c r="P79" s="22" t="s">
        <v>61</v>
      </c>
      <c r="Q79" s="22" t="s">
        <v>61</v>
      </c>
      <c r="R79" s="22" t="s">
        <v>61</v>
      </c>
      <c r="S79" s="22" t="s">
        <v>61</v>
      </c>
      <c r="T79" s="22" t="s">
        <v>61</v>
      </c>
      <c r="U79" s="22" t="s">
        <v>61</v>
      </c>
    </row>
    <row r="80" spans="1:22" ht="15" thickBot="1">
      <c r="A80" s="43" t="s">
        <v>35</v>
      </c>
      <c r="B80" s="138" t="e">
        <f>IF(B$79&gt;$B$44,IF(B$79&gt;$B$46,((($B$46-$B$44)*$B$45)+(((((1+B$79)^$B$28)-1)-$B$46)*$B$43))/$B$28,(((((1+B$79)^$B$28)-1)*$B$43)/$B$28)),0)</f>
        <v>#REF!</v>
      </c>
      <c r="C80" s="138" t="e">
        <f>IF(C$79&gt;$B$44,IF(C$79&gt;$B$46,((($B$46-$B$44)*$B$45)+(((((1+C$79)^$B$28)-1)-$B$46)*$B$43))/$B$28,(((((1+C$79)^$B$28)-1)*$B$43)/$B$28)),0)</f>
        <v>#REF!</v>
      </c>
      <c r="D80" s="138" t="e">
        <f>IF(D$79&gt;$B$44,IF(D$79&gt;$B$46,((($B$46-$B$44)*$B$45)+(((((1+D$79)^$B$28)-1)-$B$46)*$B$43))/$B$28,(((((1+D$79)^$B$28)-1)*$B$43)/$B$28)),0)</f>
        <v>#REF!</v>
      </c>
      <c r="E80" s="138" t="e">
        <f>B80*0.25+C80*0.5+0.25*D80</f>
        <v>#REF!</v>
      </c>
      <c r="F80" s="139" t="e">
        <f>(B80*0.25+C80*0.5+0.25*D80)*$B$28</f>
        <v>#REF!</v>
      </c>
      <c r="G80" s="24"/>
      <c r="H80" s="12"/>
      <c r="I80" s="12"/>
      <c r="J80" s="12"/>
      <c r="K80" s="12"/>
      <c r="L80" s="12"/>
      <c r="M80" s="12"/>
      <c r="N80" s="24"/>
      <c r="O80" s="12" t="s">
        <v>61</v>
      </c>
      <c r="P80" s="12" t="s">
        <v>61</v>
      </c>
      <c r="Q80" s="12" t="s">
        <v>61</v>
      </c>
      <c r="R80" s="12" t="s">
        <v>61</v>
      </c>
      <c r="S80" s="12" t="s">
        <v>61</v>
      </c>
      <c r="T80" s="12" t="s">
        <v>61</v>
      </c>
      <c r="U80" s="12" t="s">
        <v>61</v>
      </c>
    </row>
    <row r="81" spans="2:13">
      <c r="I81" s="288"/>
      <c r="J81" s="288"/>
      <c r="K81" s="288"/>
      <c r="L81" s="288"/>
      <c r="M81" s="288"/>
    </row>
    <row r="86" spans="2:13">
      <c r="B86" s="10"/>
    </row>
    <row r="142" spans="16:51">
      <c r="V142" s="9"/>
      <c r="W142" s="9"/>
      <c r="X142" s="9"/>
      <c r="Y142" s="9"/>
      <c r="Z142" s="9"/>
      <c r="AA142" s="9">
        <v>1</v>
      </c>
      <c r="AB142" s="9"/>
      <c r="AC142" s="9"/>
      <c r="AD142" s="9"/>
      <c r="AE142" s="9"/>
      <c r="AF142" s="9"/>
      <c r="AG142" s="9"/>
      <c r="AH142" s="9"/>
      <c r="AI142" s="9">
        <v>1</v>
      </c>
      <c r="AJ142" s="9">
        <v>2</v>
      </c>
      <c r="AK142" s="9">
        <v>3</v>
      </c>
      <c r="AL142" s="9">
        <v>4</v>
      </c>
      <c r="AM142" s="9">
        <v>5</v>
      </c>
      <c r="AN142" s="9">
        <v>6</v>
      </c>
      <c r="AO142" s="9">
        <v>7</v>
      </c>
      <c r="AP142" s="9">
        <v>8</v>
      </c>
      <c r="AQ142" s="9"/>
      <c r="AR142" s="9"/>
      <c r="AS142" s="9"/>
      <c r="AT142" s="9"/>
      <c r="AU142" s="9"/>
      <c r="AV142" s="9"/>
      <c r="AW142" s="9"/>
      <c r="AX142" s="9">
        <v>1</v>
      </c>
      <c r="AY142" s="9"/>
    </row>
    <row r="143" spans="16:51">
      <c r="P143" s="9"/>
      <c r="Q143" s="9">
        <v>1</v>
      </c>
      <c r="R143" s="9"/>
      <c r="S143" s="9"/>
      <c r="T143" s="9"/>
      <c r="U143" s="9"/>
    </row>
    <row r="158" spans="2:21">
      <c r="B158" s="9">
        <v>1</v>
      </c>
      <c r="C158" s="9">
        <f>B158+1</f>
        <v>2</v>
      </c>
      <c r="D158" s="9">
        <f t="shared" ref="D158:U158" si="14">C158+1</f>
        <v>3</v>
      </c>
      <c r="E158" s="9">
        <f t="shared" si="14"/>
        <v>4</v>
      </c>
      <c r="F158" s="9">
        <f t="shared" si="14"/>
        <v>5</v>
      </c>
      <c r="G158" s="9">
        <f>F158+1</f>
        <v>6</v>
      </c>
      <c r="H158" s="9">
        <f>G158+1</f>
        <v>7</v>
      </c>
      <c r="I158" s="9">
        <f t="shared" si="14"/>
        <v>8</v>
      </c>
      <c r="J158" s="9">
        <f t="shared" si="14"/>
        <v>9</v>
      </c>
      <c r="K158" s="9">
        <f t="shared" si="14"/>
        <v>10</v>
      </c>
      <c r="L158" s="9">
        <f t="shared" si="14"/>
        <v>11</v>
      </c>
      <c r="M158" s="9">
        <f t="shared" si="14"/>
        <v>12</v>
      </c>
      <c r="N158" s="9">
        <f t="shared" si="14"/>
        <v>13</v>
      </c>
      <c r="O158" s="9">
        <f t="shared" si="14"/>
        <v>14</v>
      </c>
      <c r="P158" s="9">
        <f t="shared" si="14"/>
        <v>15</v>
      </c>
      <c r="Q158" s="9">
        <f t="shared" si="14"/>
        <v>16</v>
      </c>
      <c r="R158" s="9">
        <f t="shared" si="14"/>
        <v>17</v>
      </c>
      <c r="S158" s="9">
        <f t="shared" si="14"/>
        <v>18</v>
      </c>
      <c r="T158" s="9">
        <f t="shared" si="14"/>
        <v>19</v>
      </c>
      <c r="U158" s="9">
        <f t="shared" si="14"/>
        <v>20</v>
      </c>
    </row>
    <row r="173" spans="2:51">
      <c r="V173" s="9">
        <v>21</v>
      </c>
      <c r="W173" s="9">
        <v>22</v>
      </c>
      <c r="X173" s="9">
        <v>23</v>
      </c>
      <c r="Y173" s="9">
        <v>24</v>
      </c>
      <c r="Z173" s="9">
        <v>25</v>
      </c>
      <c r="AA173" s="9">
        <v>26</v>
      </c>
      <c r="AB173" s="9">
        <v>27</v>
      </c>
      <c r="AC173" s="9">
        <v>28</v>
      </c>
      <c r="AD173" s="9">
        <v>29</v>
      </c>
      <c r="AE173" s="9">
        <v>30</v>
      </c>
      <c r="AF173" s="9">
        <v>31</v>
      </c>
      <c r="AG173" s="9">
        <v>32</v>
      </c>
      <c r="AH173" s="9">
        <v>33</v>
      </c>
      <c r="AI173" s="9">
        <v>34</v>
      </c>
      <c r="AJ173" s="9">
        <v>35</v>
      </c>
      <c r="AK173" s="9">
        <v>36</v>
      </c>
      <c r="AL173" s="9">
        <v>37</v>
      </c>
      <c r="AM173" s="9">
        <v>38</v>
      </c>
      <c r="AN173" s="9">
        <v>39</v>
      </c>
      <c r="AO173" s="9">
        <v>40</v>
      </c>
      <c r="AP173" s="9">
        <v>41</v>
      </c>
      <c r="AQ173" s="9">
        <v>42</v>
      </c>
      <c r="AR173" s="9">
        <v>43</v>
      </c>
      <c r="AS173" s="9">
        <v>44</v>
      </c>
      <c r="AT173" s="9">
        <v>45</v>
      </c>
      <c r="AU173" s="9">
        <v>46</v>
      </c>
      <c r="AV173" s="9">
        <v>47</v>
      </c>
      <c r="AW173" s="9">
        <v>48</v>
      </c>
      <c r="AX173" s="9">
        <v>49</v>
      </c>
      <c r="AY173" s="9">
        <v>50</v>
      </c>
    </row>
    <row r="174" spans="2:51">
      <c r="B174" s="9">
        <v>1</v>
      </c>
      <c r="C174" s="9">
        <v>2</v>
      </c>
      <c r="D174" s="9">
        <v>3</v>
      </c>
      <c r="E174" s="9">
        <v>4</v>
      </c>
      <c r="F174" s="9">
        <v>5</v>
      </c>
      <c r="G174" s="9">
        <v>6</v>
      </c>
      <c r="H174" s="9">
        <v>7</v>
      </c>
      <c r="I174" s="9">
        <v>8</v>
      </c>
      <c r="J174" s="9">
        <v>9</v>
      </c>
      <c r="K174" s="9">
        <v>10</v>
      </c>
      <c r="L174" s="9">
        <v>11</v>
      </c>
      <c r="M174" s="9">
        <v>12</v>
      </c>
      <c r="N174" s="9">
        <v>13</v>
      </c>
      <c r="O174" s="9">
        <v>14</v>
      </c>
      <c r="P174" s="9">
        <v>15</v>
      </c>
      <c r="Q174" s="9">
        <v>16</v>
      </c>
      <c r="R174" s="9">
        <v>17</v>
      </c>
      <c r="S174" s="9">
        <v>18</v>
      </c>
      <c r="T174" s="9">
        <v>19</v>
      </c>
      <c r="U174" s="9">
        <v>20</v>
      </c>
    </row>
    <row r="179" spans="2:51">
      <c r="V179" s="9">
        <v>21</v>
      </c>
      <c r="W179" s="9">
        <v>22</v>
      </c>
      <c r="X179" s="9">
        <v>23</v>
      </c>
      <c r="Y179" s="9">
        <v>24</v>
      </c>
      <c r="Z179" s="9">
        <v>25</v>
      </c>
      <c r="AA179" s="9">
        <v>26</v>
      </c>
      <c r="AB179" s="9">
        <v>27</v>
      </c>
      <c r="AC179" s="9">
        <v>28</v>
      </c>
      <c r="AD179" s="9">
        <v>29</v>
      </c>
      <c r="AE179" s="9">
        <v>30</v>
      </c>
      <c r="AF179" s="9">
        <v>31</v>
      </c>
      <c r="AG179" s="9">
        <v>32</v>
      </c>
      <c r="AH179" s="9">
        <v>33</v>
      </c>
      <c r="AI179" s="9">
        <v>34</v>
      </c>
      <c r="AJ179" s="9">
        <v>35</v>
      </c>
      <c r="AK179" s="9">
        <v>36</v>
      </c>
      <c r="AL179" s="9">
        <v>37</v>
      </c>
      <c r="AM179" s="9">
        <v>38</v>
      </c>
      <c r="AN179" s="9">
        <v>39</v>
      </c>
      <c r="AO179" s="9">
        <v>40</v>
      </c>
      <c r="AP179" s="9">
        <v>41</v>
      </c>
      <c r="AQ179" s="9">
        <v>42</v>
      </c>
      <c r="AR179" s="9">
        <v>43</v>
      </c>
      <c r="AS179" s="9">
        <v>44</v>
      </c>
      <c r="AT179" s="9">
        <v>45</v>
      </c>
      <c r="AU179" s="9">
        <v>46</v>
      </c>
      <c r="AV179" s="9">
        <v>47</v>
      </c>
      <c r="AW179" s="9">
        <v>48</v>
      </c>
      <c r="AX179" s="9">
        <v>49</v>
      </c>
      <c r="AY179" s="9">
        <v>50</v>
      </c>
    </row>
    <row r="180" spans="2:51">
      <c r="B180" s="9">
        <v>1</v>
      </c>
      <c r="C180" s="9">
        <v>2</v>
      </c>
      <c r="D180" s="9">
        <v>3</v>
      </c>
      <c r="E180" s="9">
        <v>4</v>
      </c>
      <c r="F180" s="9">
        <v>5</v>
      </c>
      <c r="G180" s="9">
        <v>6</v>
      </c>
      <c r="H180" s="9">
        <v>7</v>
      </c>
      <c r="I180" s="9">
        <v>8</v>
      </c>
      <c r="J180" s="9">
        <v>9</v>
      </c>
      <c r="K180" s="9">
        <v>10</v>
      </c>
      <c r="L180" s="9">
        <v>11</v>
      </c>
      <c r="M180" s="9">
        <v>12</v>
      </c>
      <c r="N180" s="9">
        <v>13</v>
      </c>
      <c r="O180" s="9">
        <v>14</v>
      </c>
      <c r="P180" s="9">
        <v>15</v>
      </c>
      <c r="Q180" s="9">
        <v>16</v>
      </c>
      <c r="R180" s="9">
        <v>17</v>
      </c>
      <c r="S180" s="9">
        <v>18</v>
      </c>
      <c r="T180" s="9">
        <v>19</v>
      </c>
      <c r="U180" s="9">
        <v>20</v>
      </c>
    </row>
  </sheetData>
  <mergeCells count="4">
    <mergeCell ref="A1:B1"/>
    <mergeCell ref="C1:D1"/>
    <mergeCell ref="C20:G20"/>
    <mergeCell ref="I81:M81"/>
  </mergeCells>
  <dataValidations count="1">
    <dataValidation showInputMessage="1" showErrorMessage="1" sqref="B4" xr:uid="{F61BA7EF-0E6F-4D26-ADAB-B84E60CC417A}"/>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8E08-7130-4CCC-804C-DE41B6054EF5}">
  <sheetPr>
    <tabColor rgb="FF00B050"/>
  </sheetPr>
  <dimension ref="A2:AY92"/>
  <sheetViews>
    <sheetView showGridLines="0" workbookViewId="0">
      <selection sqref="A1:XFD1048576"/>
    </sheetView>
  </sheetViews>
  <sheetFormatPr defaultColWidth="8.875" defaultRowHeight="14.25"/>
  <cols>
    <col min="1" max="8" width="11.25" style="290" customWidth="1"/>
    <col min="9" max="17" width="12" style="290" customWidth="1"/>
    <col min="18" max="16384" width="8.875" style="290"/>
  </cols>
  <sheetData>
    <row r="2" spans="1:15" ht="15">
      <c r="A2" s="250" t="s">
        <v>130</v>
      </c>
    </row>
    <row r="3" spans="1:15">
      <c r="A3" s="290" t="s">
        <v>108</v>
      </c>
    </row>
    <row r="4" spans="1:15">
      <c r="A4" s="290" t="s">
        <v>109</v>
      </c>
    </row>
    <row r="5" spans="1:15">
      <c r="A5" s="290" t="s">
        <v>110</v>
      </c>
    </row>
    <row r="7" spans="1:15">
      <c r="A7" s="290" t="s">
        <v>125</v>
      </c>
    </row>
    <row r="8" spans="1:15">
      <c r="A8" s="290" t="s">
        <v>162</v>
      </c>
    </row>
    <row r="9" spans="1:15">
      <c r="A9" s="290" t="s">
        <v>161</v>
      </c>
    </row>
    <row r="10" spans="1:15">
      <c r="G10" s="291"/>
      <c r="H10" s="291"/>
      <c r="I10" s="291"/>
      <c r="J10" s="291"/>
      <c r="K10" s="291"/>
      <c r="L10" s="291"/>
      <c r="M10" s="291"/>
      <c r="O10" s="30"/>
    </row>
    <row r="11" spans="1:15" ht="14.25" customHeight="1">
      <c r="A11" s="292"/>
      <c r="B11" s="293" t="s">
        <v>89</v>
      </c>
      <c r="C11" s="294"/>
      <c r="D11" s="294"/>
      <c r="E11" s="294"/>
      <c r="F11" s="294"/>
      <c r="G11" s="294"/>
      <c r="H11" s="294"/>
      <c r="I11" s="295"/>
      <c r="J11" s="291"/>
      <c r="K11" s="291"/>
      <c r="L11" s="291"/>
      <c r="M11" s="291"/>
      <c r="N11" s="291"/>
    </row>
    <row r="12" spans="1:15" ht="15">
      <c r="A12" s="296" t="s">
        <v>1</v>
      </c>
      <c r="B12" s="256">
        <v>0</v>
      </c>
      <c r="C12" s="257">
        <v>2.5000000000000001E-3</v>
      </c>
      <c r="D12" s="251">
        <v>5.0000000000000001E-3</v>
      </c>
      <c r="E12" s="251">
        <v>7.4999999999999997E-3</v>
      </c>
      <c r="F12" s="251">
        <v>0.01</v>
      </c>
      <c r="G12" s="251">
        <v>1.2500000000000001E-2</v>
      </c>
      <c r="H12" s="251">
        <v>1.4999999999999999E-2</v>
      </c>
      <c r="I12" s="255">
        <v>1.7500000000000002E-2</v>
      </c>
      <c r="J12" s="291"/>
      <c r="K12" s="291"/>
      <c r="L12" s="291"/>
      <c r="M12" s="291"/>
      <c r="N12" s="291"/>
    </row>
    <row r="13" spans="1:15">
      <c r="A13" s="297">
        <v>1</v>
      </c>
      <c r="B13" s="269">
        <v>2E-3</v>
      </c>
      <c r="C13" s="235">
        <v>4.5000000000000005E-3</v>
      </c>
      <c r="D13" s="235">
        <v>7.0000000000000001E-3</v>
      </c>
      <c r="E13" s="235">
        <v>9.4999999999999998E-3</v>
      </c>
      <c r="F13" s="235">
        <v>1.2E-2</v>
      </c>
      <c r="G13" s="235">
        <v>1.4500000000000001E-2</v>
      </c>
      <c r="H13" s="235">
        <v>1.7000000000000001E-2</v>
      </c>
      <c r="I13" s="236">
        <v>1.9500000000000003E-2</v>
      </c>
      <c r="J13" s="291"/>
      <c r="K13" s="291"/>
      <c r="L13" s="291"/>
      <c r="M13" s="291"/>
      <c r="N13" s="291"/>
    </row>
    <row r="14" spans="1:15">
      <c r="A14" s="297">
        <f>A13+1</f>
        <v>2</v>
      </c>
      <c r="B14" s="253">
        <v>2E-3</v>
      </c>
      <c r="C14" s="237">
        <v>4.5000000000000005E-3</v>
      </c>
      <c r="D14" s="237">
        <v>7.0000000000000001E-3</v>
      </c>
      <c r="E14" s="237">
        <v>9.4999999999999998E-3</v>
      </c>
      <c r="F14" s="237">
        <v>1.2E-2</v>
      </c>
      <c r="G14" s="237">
        <v>1.4500000000000001E-2</v>
      </c>
      <c r="H14" s="237">
        <v>1.7000000000000001E-2</v>
      </c>
      <c r="I14" s="238">
        <v>1.9500000000000003E-2</v>
      </c>
    </row>
    <row r="15" spans="1:15">
      <c r="A15" s="297">
        <f t="shared" ref="A15:A26" si="0">A14+1</f>
        <v>3</v>
      </c>
      <c r="B15" s="253">
        <v>2E-3</v>
      </c>
      <c r="C15" s="237">
        <v>4.5000000000000005E-3</v>
      </c>
      <c r="D15" s="237">
        <v>7.0000000000000001E-3</v>
      </c>
      <c r="E15" s="237">
        <v>9.4999999999999998E-3</v>
      </c>
      <c r="F15" s="237">
        <v>1.2E-2</v>
      </c>
      <c r="G15" s="237">
        <v>1.4500000000000001E-2</v>
      </c>
      <c r="H15" s="237">
        <v>1.7000000000000001E-2</v>
      </c>
      <c r="I15" s="238">
        <v>1.9500000000000003E-2</v>
      </c>
    </row>
    <row r="16" spans="1:15">
      <c r="A16" s="297">
        <f t="shared" si="0"/>
        <v>4</v>
      </c>
      <c r="B16" s="253">
        <v>2E-3</v>
      </c>
      <c r="C16" s="237">
        <v>4.5000000000000005E-3</v>
      </c>
      <c r="D16" s="237">
        <v>7.0000000000000001E-3</v>
      </c>
      <c r="E16" s="237">
        <v>9.4999999999999998E-3</v>
      </c>
      <c r="F16" s="237">
        <v>1.2E-2</v>
      </c>
      <c r="G16" s="237">
        <v>1.4500000000000001E-2</v>
      </c>
      <c r="H16" s="237">
        <v>1.7000000000000001E-2</v>
      </c>
      <c r="I16" s="238">
        <v>1.9500000000000003E-2</v>
      </c>
    </row>
    <row r="17" spans="1:9">
      <c r="A17" s="297">
        <f t="shared" si="0"/>
        <v>5</v>
      </c>
      <c r="B17" s="253">
        <v>2E-3</v>
      </c>
      <c r="C17" s="237">
        <v>4.5000000000000005E-3</v>
      </c>
      <c r="D17" s="237">
        <v>7.0000000000000001E-3</v>
      </c>
      <c r="E17" s="237">
        <v>9.4999999999999998E-3</v>
      </c>
      <c r="F17" s="237">
        <v>1.2E-2</v>
      </c>
      <c r="G17" s="237">
        <v>1.4500000000000001E-2</v>
      </c>
      <c r="H17" s="237">
        <v>1.7000000000000001E-2</v>
      </c>
      <c r="I17" s="238">
        <v>1.9500000000000003E-2</v>
      </c>
    </row>
    <row r="18" spans="1:9">
      <c r="A18" s="297">
        <f t="shared" si="0"/>
        <v>6</v>
      </c>
      <c r="B18" s="253">
        <v>2E-3</v>
      </c>
      <c r="C18" s="237">
        <v>4.5000000000000005E-3</v>
      </c>
      <c r="D18" s="237">
        <v>7.0000000000000001E-3</v>
      </c>
      <c r="E18" s="237">
        <v>9.4999999999999998E-3</v>
      </c>
      <c r="F18" s="237">
        <v>1.2E-2</v>
      </c>
      <c r="G18" s="237">
        <v>1.4500000000000001E-2</v>
      </c>
      <c r="H18" s="237">
        <v>1.7000000000000001E-2</v>
      </c>
      <c r="I18" s="238">
        <v>1.9500000000000003E-2</v>
      </c>
    </row>
    <row r="19" spans="1:9">
      <c r="A19" s="297">
        <f t="shared" si="0"/>
        <v>7</v>
      </c>
      <c r="B19" s="253">
        <v>2E-3</v>
      </c>
      <c r="C19" s="237">
        <v>4.5000000000000005E-3</v>
      </c>
      <c r="D19" s="237">
        <v>7.0000000000000001E-3</v>
      </c>
      <c r="E19" s="237">
        <v>9.4999999999999998E-3</v>
      </c>
      <c r="F19" s="237">
        <v>1.2E-2</v>
      </c>
      <c r="G19" s="237">
        <v>1.4500000000000001E-2</v>
      </c>
      <c r="H19" s="237">
        <v>1.7000000000000001E-2</v>
      </c>
      <c r="I19" s="238">
        <v>1.9500000000000003E-2</v>
      </c>
    </row>
    <row r="20" spans="1:9">
      <c r="A20" s="297">
        <f t="shared" si="0"/>
        <v>8</v>
      </c>
      <c r="B20" s="253">
        <v>2E-3</v>
      </c>
      <c r="C20" s="237">
        <v>4.5000000000000005E-3</v>
      </c>
      <c r="D20" s="237">
        <v>7.0000000000000001E-3</v>
      </c>
      <c r="E20" s="237">
        <v>9.4999999999999998E-3</v>
      </c>
      <c r="F20" s="237">
        <v>1.2E-2</v>
      </c>
      <c r="G20" s="237">
        <v>1.4500000000000001E-2</v>
      </c>
      <c r="H20" s="237">
        <v>1.7000000000000001E-2</v>
      </c>
      <c r="I20" s="238">
        <v>1.9500000000000003E-2</v>
      </c>
    </row>
    <row r="21" spans="1:9">
      <c r="A21" s="297">
        <f t="shared" si="0"/>
        <v>9</v>
      </c>
      <c r="B21" s="253">
        <v>2E-3</v>
      </c>
      <c r="C21" s="237">
        <v>4.5000000000000005E-3</v>
      </c>
      <c r="D21" s="237">
        <v>7.0000000000000001E-3</v>
      </c>
      <c r="E21" s="237">
        <v>9.4999999999999998E-3</v>
      </c>
      <c r="F21" s="237">
        <v>1.2E-2</v>
      </c>
      <c r="G21" s="237">
        <v>1.4500000000000001E-2</v>
      </c>
      <c r="H21" s="237">
        <v>1.7000000000000001E-2</v>
      </c>
      <c r="I21" s="238">
        <v>1.9500000000000003E-2</v>
      </c>
    </row>
    <row r="22" spans="1:9">
      <c r="A22" s="297">
        <f t="shared" si="0"/>
        <v>10</v>
      </c>
      <c r="B22" s="253">
        <v>2E-3</v>
      </c>
      <c r="C22" s="237">
        <v>4.5000000000000005E-3</v>
      </c>
      <c r="D22" s="237">
        <v>7.0000000000000001E-3</v>
      </c>
      <c r="E22" s="237">
        <v>9.4999999999999998E-3</v>
      </c>
      <c r="F22" s="237">
        <v>1.2E-2</v>
      </c>
      <c r="G22" s="237">
        <v>1.4500000000000001E-2</v>
      </c>
      <c r="H22" s="237">
        <v>1.7000000000000001E-2</v>
      </c>
      <c r="I22" s="238">
        <v>1.9500000000000003E-2</v>
      </c>
    </row>
    <row r="23" spans="1:9">
      <c r="A23" s="297">
        <f t="shared" si="0"/>
        <v>11</v>
      </c>
      <c r="B23" s="253">
        <v>2E-3</v>
      </c>
      <c r="C23" s="237">
        <v>4.5000000000000005E-3</v>
      </c>
      <c r="D23" s="237">
        <v>7.0000000000000001E-3</v>
      </c>
      <c r="E23" s="237">
        <v>9.4999999999999998E-3</v>
      </c>
      <c r="F23" s="237">
        <v>1.2E-2</v>
      </c>
      <c r="G23" s="237">
        <v>1.4500000000000001E-2</v>
      </c>
      <c r="H23" s="237">
        <v>1.7000000000000001E-2</v>
      </c>
      <c r="I23" s="238">
        <v>1.9500000000000003E-2</v>
      </c>
    </row>
    <row r="24" spans="1:9">
      <c r="A24" s="297">
        <f t="shared" si="0"/>
        <v>12</v>
      </c>
      <c r="B24" s="253">
        <v>2E-3</v>
      </c>
      <c r="C24" s="237">
        <v>4.5000000000000005E-3</v>
      </c>
      <c r="D24" s="237">
        <v>7.0000000000000001E-3</v>
      </c>
      <c r="E24" s="237">
        <v>9.4999999999999998E-3</v>
      </c>
      <c r="F24" s="237">
        <v>1.2E-2</v>
      </c>
      <c r="G24" s="237">
        <v>1.4500000000000001E-2</v>
      </c>
      <c r="H24" s="237">
        <v>1.7000000000000001E-2</v>
      </c>
      <c r="I24" s="238">
        <v>1.9500000000000003E-2</v>
      </c>
    </row>
    <row r="25" spans="1:9">
      <c r="A25" s="297">
        <f t="shared" si="0"/>
        <v>13</v>
      </c>
      <c r="B25" s="253">
        <v>2E-3</v>
      </c>
      <c r="C25" s="237">
        <v>4.5000000000000005E-3</v>
      </c>
      <c r="D25" s="237">
        <v>7.0000000000000001E-3</v>
      </c>
      <c r="E25" s="237">
        <v>9.4999999999999998E-3</v>
      </c>
      <c r="F25" s="237">
        <v>1.2E-2</v>
      </c>
      <c r="G25" s="237">
        <v>1.4500000000000001E-2</v>
      </c>
      <c r="H25" s="237">
        <v>1.7000000000000001E-2</v>
      </c>
      <c r="I25" s="238">
        <v>1.9500000000000003E-2</v>
      </c>
    </row>
    <row r="26" spans="1:9">
      <c r="A26" s="297">
        <f t="shared" si="0"/>
        <v>14</v>
      </c>
      <c r="B26" s="253">
        <v>2E-3</v>
      </c>
      <c r="C26" s="237">
        <v>4.5000000000000005E-3</v>
      </c>
      <c r="D26" s="237">
        <v>7.0000000000000001E-3</v>
      </c>
      <c r="E26" s="237">
        <v>9.4999999999999998E-3</v>
      </c>
      <c r="F26" s="237">
        <v>1.2E-2</v>
      </c>
      <c r="G26" s="237">
        <v>1.4500000000000001E-2</v>
      </c>
      <c r="H26" s="237">
        <v>1.7000000000000001E-2</v>
      </c>
      <c r="I26" s="238">
        <v>1.9500000000000003E-2</v>
      </c>
    </row>
    <row r="27" spans="1:9">
      <c r="A27" s="298">
        <f>A26+1</f>
        <v>15</v>
      </c>
      <c r="B27" s="254">
        <v>2E-3</v>
      </c>
      <c r="C27" s="239">
        <v>4.5000000000000005E-3</v>
      </c>
      <c r="D27" s="239">
        <v>7.0000000000000001E-3</v>
      </c>
      <c r="E27" s="239">
        <v>9.4999999999999998E-3</v>
      </c>
      <c r="F27" s="239">
        <v>1.2E-2</v>
      </c>
      <c r="G27" s="239">
        <v>1.4500000000000001E-2</v>
      </c>
      <c r="H27" s="239">
        <v>1.7000000000000001E-2</v>
      </c>
      <c r="I27" s="240">
        <v>1.9500000000000003E-2</v>
      </c>
    </row>
    <row r="30" spans="1:9">
      <c r="A30" s="289" t="s">
        <v>157</v>
      </c>
    </row>
    <row r="31" spans="1:9">
      <c r="A31" s="290" t="s">
        <v>155</v>
      </c>
    </row>
    <row r="32" spans="1:9">
      <c r="A32" s="290" t="s">
        <v>160</v>
      </c>
    </row>
    <row r="34" spans="1:1">
      <c r="A34" s="289" t="s">
        <v>158</v>
      </c>
    </row>
    <row r="35" spans="1:1">
      <c r="A35" s="290" t="s">
        <v>159</v>
      </c>
    </row>
    <row r="81" spans="17:51">
      <c r="Q81" s="290">
        <f>P50+1</f>
        <v>1</v>
      </c>
      <c r="R81" s="290">
        <f>Q81+1</f>
        <v>2</v>
      </c>
      <c r="S81" s="290">
        <f>R81+1</f>
        <v>3</v>
      </c>
      <c r="T81" s="290">
        <f>S81+1</f>
        <v>4</v>
      </c>
      <c r="U81" s="290">
        <f>T81+1</f>
        <v>5</v>
      </c>
    </row>
    <row r="90" spans="17:51">
      <c r="V90" s="290">
        <f>U81+1</f>
        <v>6</v>
      </c>
      <c r="W90" s="290">
        <f>V90+1</f>
        <v>7</v>
      </c>
      <c r="X90" s="290">
        <f>W90+1</f>
        <v>8</v>
      </c>
      <c r="Y90" s="290">
        <f>X90+1</f>
        <v>9</v>
      </c>
      <c r="Z90" s="290">
        <f>Y90+1</f>
        <v>10</v>
      </c>
    </row>
    <row r="91" spans="17:51">
      <c r="AA91" s="290">
        <f>Z90+1</f>
        <v>11</v>
      </c>
    </row>
    <row r="92" spans="17:51">
      <c r="AB92" s="290">
        <f>AA91+1</f>
        <v>12</v>
      </c>
      <c r="AC92" s="290">
        <f t="shared" ref="AC92:AI92" si="1">AB92+1</f>
        <v>13</v>
      </c>
      <c r="AD92" s="290">
        <f t="shared" si="1"/>
        <v>14</v>
      </c>
      <c r="AE92" s="290">
        <f t="shared" si="1"/>
        <v>15</v>
      </c>
      <c r="AF92" s="290">
        <f t="shared" si="1"/>
        <v>16</v>
      </c>
      <c r="AG92" s="290">
        <f t="shared" si="1"/>
        <v>17</v>
      </c>
      <c r="AH92" s="290">
        <f t="shared" si="1"/>
        <v>18</v>
      </c>
      <c r="AI92" s="290">
        <f t="shared" si="1"/>
        <v>19</v>
      </c>
      <c r="AJ92" s="290">
        <f t="shared" ref="AJ92:AY92" si="2">AI92+1</f>
        <v>20</v>
      </c>
      <c r="AK92" s="290">
        <f t="shared" si="2"/>
        <v>21</v>
      </c>
      <c r="AL92" s="290">
        <f t="shared" si="2"/>
        <v>22</v>
      </c>
      <c r="AM92" s="290">
        <f t="shared" si="2"/>
        <v>23</v>
      </c>
      <c r="AN92" s="290">
        <f t="shared" si="2"/>
        <v>24</v>
      </c>
      <c r="AO92" s="290">
        <f t="shared" si="2"/>
        <v>25</v>
      </c>
      <c r="AP92" s="290">
        <f t="shared" si="2"/>
        <v>26</v>
      </c>
      <c r="AQ92" s="290">
        <f t="shared" si="2"/>
        <v>27</v>
      </c>
      <c r="AR92" s="290">
        <f t="shared" si="2"/>
        <v>28</v>
      </c>
      <c r="AS92" s="290">
        <f t="shared" si="2"/>
        <v>29</v>
      </c>
      <c r="AT92" s="290">
        <f t="shared" si="2"/>
        <v>30</v>
      </c>
      <c r="AU92" s="290">
        <f t="shared" si="2"/>
        <v>31</v>
      </c>
      <c r="AV92" s="290">
        <f t="shared" si="2"/>
        <v>32</v>
      </c>
      <c r="AW92" s="290">
        <f t="shared" si="2"/>
        <v>33</v>
      </c>
      <c r="AX92" s="290">
        <f t="shared" si="2"/>
        <v>34</v>
      </c>
      <c r="AY92" s="290">
        <f t="shared" si="2"/>
        <v>35</v>
      </c>
    </row>
  </sheetData>
  <mergeCells count="1">
    <mergeCell ref="B11:I1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C4420-CE01-471A-B9E8-BB3A4A6FB3FA}">
  <sheetPr>
    <tabColor rgb="FF00B050"/>
  </sheetPr>
  <dimension ref="A2:AY97"/>
  <sheetViews>
    <sheetView showGridLines="0" workbookViewId="0">
      <selection sqref="A1:XFD1048576"/>
    </sheetView>
  </sheetViews>
  <sheetFormatPr defaultColWidth="8.875" defaultRowHeight="14.25"/>
  <cols>
    <col min="1" max="8" width="11.25" style="290" customWidth="1"/>
    <col min="9" max="17" width="12" style="290" customWidth="1"/>
    <col min="18" max="16384" width="8.875" style="290"/>
  </cols>
  <sheetData>
    <row r="2" spans="1:14" ht="15">
      <c r="A2" s="250" t="s">
        <v>131</v>
      </c>
    </row>
    <row r="3" spans="1:14">
      <c r="A3" s="290" t="s">
        <v>108</v>
      </c>
    </row>
    <row r="4" spans="1:14">
      <c r="A4" s="290" t="s">
        <v>109</v>
      </c>
    </row>
    <row r="5" spans="1:14">
      <c r="A5" s="290" t="s">
        <v>110</v>
      </c>
    </row>
    <row r="7" spans="1:14">
      <c r="A7" s="290" t="s">
        <v>125</v>
      </c>
    </row>
    <row r="8" spans="1:14">
      <c r="A8" s="290" t="s">
        <v>162</v>
      </c>
    </row>
    <row r="9" spans="1:14">
      <c r="A9" s="290" t="s">
        <v>161</v>
      </c>
    </row>
    <row r="11" spans="1:14" ht="14.25" customHeight="1">
      <c r="A11" s="292"/>
      <c r="B11" s="293" t="s">
        <v>89</v>
      </c>
      <c r="C11" s="294"/>
      <c r="D11" s="294"/>
      <c r="E11" s="294"/>
      <c r="F11" s="294"/>
      <c r="G11" s="294"/>
      <c r="H11" s="294"/>
      <c r="I11" s="295"/>
      <c r="J11" s="291"/>
      <c r="K11" s="291"/>
      <c r="L11" s="291"/>
      <c r="M11" s="291"/>
    </row>
    <row r="12" spans="1:14" ht="15">
      <c r="A12" s="296" t="s">
        <v>1</v>
      </c>
      <c r="B12" s="252">
        <v>0</v>
      </c>
      <c r="C12" s="252">
        <v>2.5000000000000001E-3</v>
      </c>
      <c r="D12" s="251">
        <v>5.0000000000000001E-3</v>
      </c>
      <c r="E12" s="251">
        <v>7.4999999999999997E-3</v>
      </c>
      <c r="F12" s="251">
        <v>0.01</v>
      </c>
      <c r="G12" s="251">
        <v>1.2500000000000001E-2</v>
      </c>
      <c r="H12" s="251">
        <v>1.4999999999999999E-2</v>
      </c>
      <c r="I12" s="255">
        <v>1.7500000000000002E-2</v>
      </c>
      <c r="J12" s="291"/>
      <c r="K12" s="291"/>
      <c r="L12" s="291"/>
      <c r="M12" s="291"/>
      <c r="N12" s="291"/>
    </row>
    <row r="13" spans="1:14">
      <c r="A13" s="299">
        <v>1</v>
      </c>
      <c r="B13" s="300">
        <v>2E-3</v>
      </c>
      <c r="C13" s="235">
        <v>4.5000000000000005E-3</v>
      </c>
      <c r="D13" s="235">
        <v>7.0000000000000001E-3</v>
      </c>
      <c r="E13" s="235">
        <v>9.4999999999999998E-3</v>
      </c>
      <c r="F13" s="235">
        <v>1.2E-2</v>
      </c>
      <c r="G13" s="235">
        <v>1.4500000000000001E-2</v>
      </c>
      <c r="H13" s="235">
        <v>1.7000000000000001E-2</v>
      </c>
      <c r="I13" s="236">
        <v>1.9500000000000003E-2</v>
      </c>
      <c r="J13" s="291"/>
      <c r="K13" s="291"/>
      <c r="L13" s="291"/>
      <c r="M13" s="291"/>
      <c r="N13" s="291"/>
    </row>
    <row r="14" spans="1:14">
      <c r="A14" s="301">
        <f>A13+1</f>
        <v>2</v>
      </c>
      <c r="B14" s="302">
        <v>2E-3</v>
      </c>
      <c r="C14" s="237">
        <v>4.5000000000000005E-3</v>
      </c>
      <c r="D14" s="237">
        <v>7.0000000000000001E-3</v>
      </c>
      <c r="E14" s="237">
        <v>9.4999999999999998E-3</v>
      </c>
      <c r="F14" s="237">
        <v>1.2E-2</v>
      </c>
      <c r="G14" s="237">
        <v>1.4500000000000001E-2</v>
      </c>
      <c r="H14" s="237">
        <v>1.7000000000000001E-2</v>
      </c>
      <c r="I14" s="238">
        <v>1.9500000000000003E-2</v>
      </c>
    </row>
    <row r="15" spans="1:14">
      <c r="A15" s="301">
        <f t="shared" ref="A15:A26" si="0">A14+1</f>
        <v>3</v>
      </c>
      <c r="B15" s="302">
        <v>2E-3</v>
      </c>
      <c r="C15" s="237">
        <v>4.5000000000000005E-3</v>
      </c>
      <c r="D15" s="237">
        <v>7.0000000000000001E-3</v>
      </c>
      <c r="E15" s="237">
        <v>9.4999999999999998E-3</v>
      </c>
      <c r="F15" s="237">
        <v>1.2E-2</v>
      </c>
      <c r="G15" s="237">
        <v>1.4500000000000001E-2</v>
      </c>
      <c r="H15" s="237">
        <v>1.7000000000000001E-2</v>
      </c>
      <c r="I15" s="238">
        <v>1.9500000000000003E-2</v>
      </c>
    </row>
    <row r="16" spans="1:14">
      <c r="A16" s="301">
        <f t="shared" si="0"/>
        <v>4</v>
      </c>
      <c r="B16" s="302">
        <v>2E-3</v>
      </c>
      <c r="C16" s="237">
        <v>4.5000000000000005E-3</v>
      </c>
      <c r="D16" s="237">
        <v>7.0000000000000001E-3</v>
      </c>
      <c r="E16" s="237">
        <v>9.4999999999999998E-3</v>
      </c>
      <c r="F16" s="237">
        <v>1.2E-2</v>
      </c>
      <c r="G16" s="237">
        <v>1.4500000000000001E-2</v>
      </c>
      <c r="H16" s="237">
        <v>1.7000000000000001E-2</v>
      </c>
      <c r="I16" s="238">
        <v>1.9500000000000003E-2</v>
      </c>
    </row>
    <row r="17" spans="1:9">
      <c r="A17" s="301">
        <f t="shared" si="0"/>
        <v>5</v>
      </c>
      <c r="B17" s="302">
        <v>2E-3</v>
      </c>
      <c r="C17" s="237">
        <v>4.5000000000000005E-3</v>
      </c>
      <c r="D17" s="237">
        <v>7.0000000000000001E-3</v>
      </c>
      <c r="E17" s="237">
        <v>9.4999999999999998E-3</v>
      </c>
      <c r="F17" s="237">
        <v>1.2E-2</v>
      </c>
      <c r="G17" s="237">
        <v>1.4500000000000001E-2</v>
      </c>
      <c r="H17" s="237">
        <v>1.7000000000000001E-2</v>
      </c>
      <c r="I17" s="238">
        <v>1.9500000000000003E-2</v>
      </c>
    </row>
    <row r="18" spans="1:9">
      <c r="A18" s="301">
        <f t="shared" si="0"/>
        <v>6</v>
      </c>
      <c r="B18" s="302">
        <v>2E-3</v>
      </c>
      <c r="C18" s="237">
        <v>4.5000000000000005E-3</v>
      </c>
      <c r="D18" s="237">
        <v>7.0000000000000001E-3</v>
      </c>
      <c r="E18" s="237">
        <v>9.4999999999999998E-3</v>
      </c>
      <c r="F18" s="237">
        <v>1.2E-2</v>
      </c>
      <c r="G18" s="237">
        <v>1.4500000000000001E-2</v>
      </c>
      <c r="H18" s="237">
        <v>1.7000000000000001E-2</v>
      </c>
      <c r="I18" s="238">
        <v>1.9500000000000003E-2</v>
      </c>
    </row>
    <row r="19" spans="1:9">
      <c r="A19" s="301">
        <f t="shared" si="0"/>
        <v>7</v>
      </c>
      <c r="B19" s="302">
        <v>2E-3</v>
      </c>
      <c r="C19" s="237">
        <v>4.5000000000000005E-3</v>
      </c>
      <c r="D19" s="237">
        <v>7.0000000000000001E-3</v>
      </c>
      <c r="E19" s="237">
        <v>9.4999999999999998E-3</v>
      </c>
      <c r="F19" s="237">
        <v>1.2E-2</v>
      </c>
      <c r="G19" s="237">
        <v>1.4500000000000001E-2</v>
      </c>
      <c r="H19" s="237">
        <v>1.7000000000000001E-2</v>
      </c>
      <c r="I19" s="238">
        <v>1.9500000000000003E-2</v>
      </c>
    </row>
    <row r="20" spans="1:9">
      <c r="A20" s="301">
        <f t="shared" si="0"/>
        <v>8</v>
      </c>
      <c r="B20" s="302">
        <v>2E-3</v>
      </c>
      <c r="C20" s="237">
        <v>4.5000000000000005E-3</v>
      </c>
      <c r="D20" s="237">
        <v>7.0000000000000001E-3</v>
      </c>
      <c r="E20" s="237">
        <v>9.4999999999999998E-3</v>
      </c>
      <c r="F20" s="237">
        <v>1.2E-2</v>
      </c>
      <c r="G20" s="237">
        <v>1.4500000000000001E-2</v>
      </c>
      <c r="H20" s="237">
        <v>1.7000000000000001E-2</v>
      </c>
      <c r="I20" s="238">
        <v>1.9500000000000003E-2</v>
      </c>
    </row>
    <row r="21" spans="1:9">
      <c r="A21" s="301">
        <f t="shared" si="0"/>
        <v>9</v>
      </c>
      <c r="B21" s="302">
        <v>2E-3</v>
      </c>
      <c r="C21" s="237">
        <v>4.5000000000000005E-3</v>
      </c>
      <c r="D21" s="237">
        <v>7.0000000000000001E-3</v>
      </c>
      <c r="E21" s="237">
        <v>9.4999999999999998E-3</v>
      </c>
      <c r="F21" s="237">
        <v>1.2E-2</v>
      </c>
      <c r="G21" s="237">
        <v>1.4500000000000001E-2</v>
      </c>
      <c r="H21" s="237">
        <v>1.7000000000000001E-2</v>
      </c>
      <c r="I21" s="238">
        <v>1.9500000000000003E-2</v>
      </c>
    </row>
    <row r="22" spans="1:9">
      <c r="A22" s="301">
        <f t="shared" si="0"/>
        <v>10</v>
      </c>
      <c r="B22" s="302">
        <v>2E-3</v>
      </c>
      <c r="C22" s="237">
        <v>4.5000000000000005E-3</v>
      </c>
      <c r="D22" s="237">
        <v>7.0000000000000001E-3</v>
      </c>
      <c r="E22" s="237">
        <v>9.4999999999999998E-3</v>
      </c>
      <c r="F22" s="237">
        <v>1.2E-2</v>
      </c>
      <c r="G22" s="237">
        <v>1.4500000000000001E-2</v>
      </c>
      <c r="H22" s="237">
        <v>1.7000000000000001E-2</v>
      </c>
      <c r="I22" s="238">
        <v>1.9500000000000003E-2</v>
      </c>
    </row>
    <row r="23" spans="1:9">
      <c r="A23" s="301">
        <f t="shared" si="0"/>
        <v>11</v>
      </c>
      <c r="B23" s="302">
        <v>2E-3</v>
      </c>
      <c r="C23" s="237">
        <v>4.5000000000000005E-3</v>
      </c>
      <c r="D23" s="237">
        <v>7.0000000000000001E-3</v>
      </c>
      <c r="E23" s="237">
        <v>9.4999999999999998E-3</v>
      </c>
      <c r="F23" s="237">
        <v>1.2E-2</v>
      </c>
      <c r="G23" s="237">
        <v>1.4500000000000001E-2</v>
      </c>
      <c r="H23" s="237">
        <v>1.7000000000000001E-2</v>
      </c>
      <c r="I23" s="238">
        <v>1.9500000000000003E-2</v>
      </c>
    </row>
    <row r="24" spans="1:9">
      <c r="A24" s="301">
        <f t="shared" si="0"/>
        <v>12</v>
      </c>
      <c r="B24" s="302">
        <v>2E-3</v>
      </c>
      <c r="C24" s="237">
        <v>4.5000000000000005E-3</v>
      </c>
      <c r="D24" s="237">
        <v>7.0000000000000001E-3</v>
      </c>
      <c r="E24" s="237">
        <v>9.4999999999999998E-3</v>
      </c>
      <c r="F24" s="237">
        <v>1.2E-2</v>
      </c>
      <c r="G24" s="237">
        <v>1.4500000000000001E-2</v>
      </c>
      <c r="H24" s="237">
        <v>1.7000000000000001E-2</v>
      </c>
      <c r="I24" s="238">
        <v>1.9500000000000003E-2</v>
      </c>
    </row>
    <row r="25" spans="1:9">
      <c r="A25" s="301">
        <f t="shared" si="0"/>
        <v>13</v>
      </c>
      <c r="B25" s="302">
        <v>2E-3</v>
      </c>
      <c r="C25" s="237">
        <v>4.5000000000000005E-3</v>
      </c>
      <c r="D25" s="237">
        <v>7.0000000000000001E-3</v>
      </c>
      <c r="E25" s="237">
        <v>9.4999999999999998E-3</v>
      </c>
      <c r="F25" s="237">
        <v>1.2E-2</v>
      </c>
      <c r="G25" s="237">
        <v>1.4500000000000001E-2</v>
      </c>
      <c r="H25" s="237">
        <v>1.7000000000000001E-2</v>
      </c>
      <c r="I25" s="238">
        <v>1.9500000000000003E-2</v>
      </c>
    </row>
    <row r="26" spans="1:9">
      <c r="A26" s="301">
        <f t="shared" si="0"/>
        <v>14</v>
      </c>
      <c r="B26" s="302">
        <v>2E-3</v>
      </c>
      <c r="C26" s="237">
        <v>4.5000000000000005E-3</v>
      </c>
      <c r="D26" s="237">
        <v>7.0000000000000001E-3</v>
      </c>
      <c r="E26" s="237">
        <v>9.4999999999999998E-3</v>
      </c>
      <c r="F26" s="237">
        <v>1.2E-2</v>
      </c>
      <c r="G26" s="237">
        <v>1.4500000000000001E-2</v>
      </c>
      <c r="H26" s="237">
        <v>1.7000000000000001E-2</v>
      </c>
      <c r="I26" s="238">
        <v>1.9500000000000003E-2</v>
      </c>
    </row>
    <row r="27" spans="1:9">
      <c r="A27" s="301">
        <f>A26+1</f>
        <v>15</v>
      </c>
      <c r="B27" s="302">
        <v>2E-3</v>
      </c>
      <c r="C27" s="237">
        <v>4.5000000000000005E-3</v>
      </c>
      <c r="D27" s="237">
        <v>7.0000000000000001E-3</v>
      </c>
      <c r="E27" s="237">
        <v>9.4999999999999998E-3</v>
      </c>
      <c r="F27" s="237">
        <v>1.2E-2</v>
      </c>
      <c r="G27" s="237">
        <v>1.4500000000000001E-2</v>
      </c>
      <c r="H27" s="237">
        <v>1.7000000000000001E-2</v>
      </c>
      <c r="I27" s="238">
        <v>1.9500000000000003E-2</v>
      </c>
    </row>
    <row r="28" spans="1:9">
      <c r="A28" s="301">
        <f t="shared" ref="A28:A31" si="1">A27+1</f>
        <v>16</v>
      </c>
      <c r="B28" s="302">
        <v>2E-3</v>
      </c>
      <c r="C28" s="237">
        <v>4.5000000000000005E-3</v>
      </c>
      <c r="D28" s="237">
        <v>7.0000000000000001E-3</v>
      </c>
      <c r="E28" s="237">
        <v>9.4999999999999998E-3</v>
      </c>
      <c r="F28" s="237">
        <v>1.2E-2</v>
      </c>
      <c r="G28" s="237">
        <v>1.4500000000000001E-2</v>
      </c>
      <c r="H28" s="237">
        <v>1.7000000000000001E-2</v>
      </c>
      <c r="I28" s="238">
        <v>1.9500000000000003E-2</v>
      </c>
    </row>
    <row r="29" spans="1:9">
      <c r="A29" s="301">
        <f t="shared" si="1"/>
        <v>17</v>
      </c>
      <c r="B29" s="302">
        <v>2E-3</v>
      </c>
      <c r="C29" s="237">
        <v>4.5000000000000005E-3</v>
      </c>
      <c r="D29" s="237">
        <v>7.0000000000000001E-3</v>
      </c>
      <c r="E29" s="237">
        <v>9.4999999999999998E-3</v>
      </c>
      <c r="F29" s="237">
        <v>1.2E-2</v>
      </c>
      <c r="G29" s="237">
        <v>1.4500000000000001E-2</v>
      </c>
      <c r="H29" s="237">
        <v>1.7000000000000001E-2</v>
      </c>
      <c r="I29" s="238">
        <v>1.9500000000000003E-2</v>
      </c>
    </row>
    <row r="30" spans="1:9">
      <c r="A30" s="301">
        <f t="shared" si="1"/>
        <v>18</v>
      </c>
      <c r="B30" s="302">
        <v>2E-3</v>
      </c>
      <c r="C30" s="237">
        <v>4.5000000000000005E-3</v>
      </c>
      <c r="D30" s="237">
        <v>7.0000000000000001E-3</v>
      </c>
      <c r="E30" s="237">
        <v>9.4999999999999998E-3</v>
      </c>
      <c r="F30" s="237">
        <v>1.2E-2</v>
      </c>
      <c r="G30" s="237">
        <v>1.4500000000000001E-2</v>
      </c>
      <c r="H30" s="237">
        <v>1.7000000000000001E-2</v>
      </c>
      <c r="I30" s="238">
        <v>1.9500000000000003E-2</v>
      </c>
    </row>
    <row r="31" spans="1:9">
      <c r="A31" s="301">
        <f t="shared" si="1"/>
        <v>19</v>
      </c>
      <c r="B31" s="302">
        <v>2E-3</v>
      </c>
      <c r="C31" s="237">
        <v>4.5000000000000005E-3</v>
      </c>
      <c r="D31" s="237">
        <v>7.0000000000000001E-3</v>
      </c>
      <c r="E31" s="237">
        <v>9.4999999999999998E-3</v>
      </c>
      <c r="F31" s="237">
        <v>1.2E-2</v>
      </c>
      <c r="G31" s="237">
        <v>1.4500000000000001E-2</v>
      </c>
      <c r="H31" s="237">
        <v>1.7000000000000001E-2</v>
      </c>
      <c r="I31" s="238">
        <v>1.9500000000000003E-2</v>
      </c>
    </row>
    <row r="32" spans="1:9">
      <c r="A32" s="301">
        <f>A31+1</f>
        <v>20</v>
      </c>
      <c r="B32" s="302">
        <v>2E-3</v>
      </c>
      <c r="C32" s="237">
        <v>4.5000000000000005E-3</v>
      </c>
      <c r="D32" s="237">
        <v>7.0000000000000001E-3</v>
      </c>
      <c r="E32" s="237">
        <v>9.4999999999999998E-3</v>
      </c>
      <c r="F32" s="237">
        <v>1.2E-2</v>
      </c>
      <c r="G32" s="237">
        <v>1.4500000000000001E-2</v>
      </c>
      <c r="H32" s="237">
        <v>1.7000000000000001E-2</v>
      </c>
      <c r="I32" s="238">
        <v>1.9500000000000003E-2</v>
      </c>
    </row>
    <row r="33" spans="1:9">
      <c r="A33" s="301">
        <f t="shared" ref="A33:A37" si="2">A32+1</f>
        <v>21</v>
      </c>
      <c r="B33" s="302">
        <v>2E-3</v>
      </c>
      <c r="C33" s="237">
        <v>4.5000000000000005E-3</v>
      </c>
      <c r="D33" s="237">
        <v>7.0000000000000001E-3</v>
      </c>
      <c r="E33" s="237">
        <v>9.4999999999999998E-3</v>
      </c>
      <c r="F33" s="237">
        <v>1.2E-2</v>
      </c>
      <c r="G33" s="237">
        <v>1.4500000000000001E-2</v>
      </c>
      <c r="H33" s="237">
        <v>1.7000000000000001E-2</v>
      </c>
      <c r="I33" s="238">
        <v>1.9500000000000003E-2</v>
      </c>
    </row>
    <row r="34" spans="1:9">
      <c r="A34" s="301">
        <f t="shared" si="2"/>
        <v>22</v>
      </c>
      <c r="B34" s="302">
        <v>2E-3</v>
      </c>
      <c r="C34" s="237">
        <v>4.5000000000000005E-3</v>
      </c>
      <c r="D34" s="237">
        <v>7.0000000000000001E-3</v>
      </c>
      <c r="E34" s="237">
        <v>9.4999999999999998E-3</v>
      </c>
      <c r="F34" s="237">
        <v>1.2E-2</v>
      </c>
      <c r="G34" s="237">
        <v>1.4500000000000001E-2</v>
      </c>
      <c r="H34" s="237">
        <v>1.7000000000000001E-2</v>
      </c>
      <c r="I34" s="238">
        <v>1.9500000000000003E-2</v>
      </c>
    </row>
    <row r="35" spans="1:9">
      <c r="A35" s="301">
        <f t="shared" si="2"/>
        <v>23</v>
      </c>
      <c r="B35" s="302">
        <v>2E-3</v>
      </c>
      <c r="C35" s="237">
        <v>4.5000000000000005E-3</v>
      </c>
      <c r="D35" s="237">
        <v>7.0000000000000001E-3</v>
      </c>
      <c r="E35" s="237">
        <v>9.4999999999999998E-3</v>
      </c>
      <c r="F35" s="237">
        <v>1.2E-2</v>
      </c>
      <c r="G35" s="237">
        <v>1.4500000000000001E-2</v>
      </c>
      <c r="H35" s="237">
        <v>1.7000000000000001E-2</v>
      </c>
      <c r="I35" s="238">
        <v>1.9500000000000003E-2</v>
      </c>
    </row>
    <row r="36" spans="1:9">
      <c r="A36" s="301">
        <f t="shared" si="2"/>
        <v>24</v>
      </c>
      <c r="B36" s="302">
        <v>2E-3</v>
      </c>
      <c r="C36" s="237">
        <v>4.5000000000000005E-3</v>
      </c>
      <c r="D36" s="237">
        <v>7.0000000000000001E-3</v>
      </c>
      <c r="E36" s="237">
        <v>9.4999999999999998E-3</v>
      </c>
      <c r="F36" s="237">
        <v>1.2E-2</v>
      </c>
      <c r="G36" s="237">
        <v>1.4500000000000001E-2</v>
      </c>
      <c r="H36" s="237">
        <v>1.7000000000000001E-2</v>
      </c>
      <c r="I36" s="238">
        <v>1.9500000000000003E-2</v>
      </c>
    </row>
    <row r="37" spans="1:9">
      <c r="A37" s="303">
        <f t="shared" si="2"/>
        <v>25</v>
      </c>
      <c r="B37" s="304">
        <v>2E-3</v>
      </c>
      <c r="C37" s="239">
        <v>4.5000000000000005E-3</v>
      </c>
      <c r="D37" s="239">
        <v>7.0000000000000001E-3</v>
      </c>
      <c r="E37" s="239">
        <v>9.4999999999999998E-3</v>
      </c>
      <c r="F37" s="239">
        <v>1.2E-2</v>
      </c>
      <c r="G37" s="239">
        <v>1.4500000000000001E-2</v>
      </c>
      <c r="H37" s="239">
        <v>1.7000000000000001E-2</v>
      </c>
      <c r="I37" s="240">
        <v>1.9500000000000003E-2</v>
      </c>
    </row>
    <row r="39" spans="1:9">
      <c r="A39" s="289" t="s">
        <v>157</v>
      </c>
    </row>
    <row r="40" spans="1:9">
      <c r="A40" s="290" t="s">
        <v>155</v>
      </c>
    </row>
    <row r="41" spans="1:9">
      <c r="A41" s="290" t="s">
        <v>160</v>
      </c>
    </row>
    <row r="43" spans="1:9">
      <c r="A43" s="289" t="s">
        <v>158</v>
      </c>
    </row>
    <row r="44" spans="1:9">
      <c r="A44" s="290" t="s">
        <v>159</v>
      </c>
    </row>
    <row r="86" spans="17:27">
      <c r="Q86" s="290">
        <f>P55+1</f>
        <v>1</v>
      </c>
      <c r="R86" s="290">
        <f>Q86+1</f>
        <v>2</v>
      </c>
      <c r="S86" s="290">
        <f>R86+1</f>
        <v>3</v>
      </c>
      <c r="T86" s="290">
        <f>S86+1</f>
        <v>4</v>
      </c>
      <c r="U86" s="290">
        <f>T86+1</f>
        <v>5</v>
      </c>
    </row>
    <row r="95" spans="17:27">
      <c r="V95" s="290">
        <f>U86+1</f>
        <v>6</v>
      </c>
      <c r="W95" s="290">
        <f>V95+1</f>
        <v>7</v>
      </c>
      <c r="X95" s="290">
        <f>W95+1</f>
        <v>8</v>
      </c>
      <c r="Y95" s="290">
        <f>X95+1</f>
        <v>9</v>
      </c>
      <c r="Z95" s="290">
        <f>Y95+1</f>
        <v>10</v>
      </c>
    </row>
    <row r="96" spans="17:27">
      <c r="AA96" s="290">
        <f>Z95+1</f>
        <v>11</v>
      </c>
    </row>
    <row r="97" spans="28:51">
      <c r="AB97" s="290">
        <f>AA96+1</f>
        <v>12</v>
      </c>
      <c r="AC97" s="290">
        <f t="shared" ref="AC97:AY97" si="3">AB97+1</f>
        <v>13</v>
      </c>
      <c r="AD97" s="290">
        <f t="shared" si="3"/>
        <v>14</v>
      </c>
      <c r="AE97" s="290">
        <f t="shared" si="3"/>
        <v>15</v>
      </c>
      <c r="AF97" s="290">
        <f t="shared" si="3"/>
        <v>16</v>
      </c>
      <c r="AG97" s="290">
        <f t="shared" si="3"/>
        <v>17</v>
      </c>
      <c r="AH97" s="290">
        <f t="shared" si="3"/>
        <v>18</v>
      </c>
      <c r="AI97" s="290">
        <f t="shared" si="3"/>
        <v>19</v>
      </c>
      <c r="AJ97" s="290">
        <f t="shared" si="3"/>
        <v>20</v>
      </c>
      <c r="AK97" s="290">
        <f t="shared" si="3"/>
        <v>21</v>
      </c>
      <c r="AL97" s="290">
        <f t="shared" si="3"/>
        <v>22</v>
      </c>
      <c r="AM97" s="290">
        <f t="shared" si="3"/>
        <v>23</v>
      </c>
      <c r="AN97" s="290">
        <f t="shared" si="3"/>
        <v>24</v>
      </c>
      <c r="AO97" s="290">
        <f t="shared" si="3"/>
        <v>25</v>
      </c>
      <c r="AP97" s="290">
        <f t="shared" si="3"/>
        <v>26</v>
      </c>
      <c r="AQ97" s="290">
        <f t="shared" si="3"/>
        <v>27</v>
      </c>
      <c r="AR97" s="290">
        <f t="shared" si="3"/>
        <v>28</v>
      </c>
      <c r="AS97" s="290">
        <f t="shared" si="3"/>
        <v>29</v>
      </c>
      <c r="AT97" s="290">
        <f t="shared" si="3"/>
        <v>30</v>
      </c>
      <c r="AU97" s="290">
        <f t="shared" si="3"/>
        <v>31</v>
      </c>
      <c r="AV97" s="290">
        <f t="shared" si="3"/>
        <v>32</v>
      </c>
      <c r="AW97" s="290">
        <f t="shared" si="3"/>
        <v>33</v>
      </c>
      <c r="AX97" s="290">
        <f t="shared" si="3"/>
        <v>34</v>
      </c>
      <c r="AY97" s="290">
        <f t="shared" si="3"/>
        <v>35</v>
      </c>
    </row>
  </sheetData>
  <mergeCells count="1">
    <mergeCell ref="B11:I1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8C2F5-D68D-47E7-94EF-0095907FD2C7}">
  <sheetPr>
    <tabColor rgb="FF00B050"/>
  </sheetPr>
  <dimension ref="A2:L33"/>
  <sheetViews>
    <sheetView showGridLines="0" workbookViewId="0">
      <selection sqref="A1:XFD1048576"/>
    </sheetView>
  </sheetViews>
  <sheetFormatPr defaultColWidth="8.875" defaultRowHeight="14.25"/>
  <cols>
    <col min="1" max="8" width="11.25" style="305" customWidth="1"/>
    <col min="9" max="10" width="12" style="305" customWidth="1"/>
    <col min="11" max="11" width="8.625" style="305" customWidth="1"/>
    <col min="12" max="12" width="21.375" style="305" bestFit="1" customWidth="1"/>
    <col min="13" max="17" width="12" style="305" customWidth="1"/>
    <col min="18" max="16384" width="8.875" style="305"/>
  </cols>
  <sheetData>
    <row r="2" spans="1:12" ht="15">
      <c r="A2" s="250" t="s">
        <v>132</v>
      </c>
    </row>
    <row r="3" spans="1:12">
      <c r="A3" s="305" t="s">
        <v>111</v>
      </c>
    </row>
    <row r="5" spans="1:12">
      <c r="A5" s="305" t="s">
        <v>124</v>
      </c>
    </row>
    <row r="7" spans="1:12" ht="14.25" customHeight="1">
      <c r="A7" s="306"/>
      <c r="B7" s="307" t="s">
        <v>89</v>
      </c>
      <c r="C7" s="308"/>
      <c r="D7" s="308"/>
      <c r="E7" s="308"/>
      <c r="F7" s="308"/>
      <c r="G7" s="308"/>
      <c r="H7" s="308"/>
      <c r="I7" s="309"/>
      <c r="K7" s="310" t="s">
        <v>152</v>
      </c>
    </row>
    <row r="8" spans="1:12" ht="15">
      <c r="A8" s="311" t="s">
        <v>1</v>
      </c>
      <c r="B8" s="265">
        <v>0</v>
      </c>
      <c r="C8" s="252">
        <v>2E-3</v>
      </c>
      <c r="D8" s="251">
        <v>4.0000000000000001E-3</v>
      </c>
      <c r="E8" s="251">
        <v>6.0000000000000001E-3</v>
      </c>
      <c r="F8" s="251">
        <v>8.0000000000000002E-3</v>
      </c>
      <c r="G8" s="251">
        <v>0.01</v>
      </c>
      <c r="H8" s="251">
        <v>1.2E-2</v>
      </c>
      <c r="I8" s="255">
        <v>1.4E-2</v>
      </c>
    </row>
    <row r="9" spans="1:12">
      <c r="A9" s="312">
        <v>1</v>
      </c>
      <c r="B9" s="313">
        <v>2E-3</v>
      </c>
      <c r="C9" s="314">
        <v>4.0000000000000001E-3</v>
      </c>
      <c r="D9" s="314">
        <v>6.0000000000000001E-3</v>
      </c>
      <c r="E9" s="314">
        <v>8.0000000000000002E-3</v>
      </c>
      <c r="F9" s="314">
        <v>0.01</v>
      </c>
      <c r="G9" s="314">
        <v>1.2E-2</v>
      </c>
      <c r="H9" s="314">
        <v>1.4E-2</v>
      </c>
      <c r="I9" s="315">
        <v>1.6E-2</v>
      </c>
      <c r="K9" s="316">
        <v>1</v>
      </c>
      <c r="L9" s="317"/>
    </row>
    <row r="10" spans="1:12">
      <c r="A10" s="312">
        <f>A9+1</f>
        <v>2</v>
      </c>
      <c r="B10" s="313">
        <v>2E-3</v>
      </c>
      <c r="C10" s="318">
        <v>4.0000000000000001E-3</v>
      </c>
      <c r="D10" s="318">
        <v>6.0000000000000001E-3</v>
      </c>
      <c r="E10" s="318">
        <v>8.0000000000000002E-3</v>
      </c>
      <c r="F10" s="318">
        <v>0.01</v>
      </c>
      <c r="G10" s="318">
        <v>1.2E-2</v>
      </c>
      <c r="H10" s="318">
        <v>1.4E-2</v>
      </c>
      <c r="I10" s="319">
        <v>1.6E-2</v>
      </c>
      <c r="K10" s="316">
        <v>1</v>
      </c>
      <c r="L10" s="317"/>
    </row>
    <row r="11" spans="1:12">
      <c r="A11" s="312">
        <f t="shared" ref="A11:A22" si="0">A10+1</f>
        <v>3</v>
      </c>
      <c r="B11" s="313">
        <v>2E-3</v>
      </c>
      <c r="C11" s="318">
        <v>4.0000000000000001E-3</v>
      </c>
      <c r="D11" s="318">
        <v>6.0000000000000001E-3</v>
      </c>
      <c r="E11" s="318">
        <v>8.0000000000000002E-3</v>
      </c>
      <c r="F11" s="318">
        <v>0.01</v>
      </c>
      <c r="G11" s="318">
        <v>1.2E-2</v>
      </c>
      <c r="H11" s="318">
        <v>1.4E-2</v>
      </c>
      <c r="I11" s="319">
        <v>1.6E-2</v>
      </c>
      <c r="K11" s="316">
        <v>1</v>
      </c>
      <c r="L11" s="317"/>
    </row>
    <row r="12" spans="1:12">
      <c r="A12" s="312">
        <f t="shared" si="0"/>
        <v>4</v>
      </c>
      <c r="B12" s="313">
        <v>2E-3</v>
      </c>
      <c r="C12" s="318">
        <v>4.0000000000000001E-3</v>
      </c>
      <c r="D12" s="318">
        <v>6.0000000000000001E-3</v>
      </c>
      <c r="E12" s="318">
        <v>8.0000000000000002E-3</v>
      </c>
      <c r="F12" s="318">
        <v>0.01</v>
      </c>
      <c r="G12" s="318">
        <v>1.2E-2</v>
      </c>
      <c r="H12" s="318">
        <v>1.4E-2</v>
      </c>
      <c r="I12" s="319">
        <v>1.6E-2</v>
      </c>
      <c r="K12" s="316">
        <v>1</v>
      </c>
      <c r="L12" s="317"/>
    </row>
    <row r="13" spans="1:12">
      <c r="A13" s="312">
        <f t="shared" si="0"/>
        <v>5</v>
      </c>
      <c r="B13" s="313">
        <v>7.2600917253060494E-3</v>
      </c>
      <c r="C13" s="318">
        <v>8.9162921742678529E-3</v>
      </c>
      <c r="D13" s="318">
        <v>1.0557923827412215E-2</v>
      </c>
      <c r="E13" s="318">
        <v>1.2202775830340976E-2</v>
      </c>
      <c r="F13" s="318">
        <v>1.3850756934003675E-2</v>
      </c>
      <c r="G13" s="318">
        <v>1.5501779228651865E-2</v>
      </c>
      <c r="H13" s="318">
        <v>1.7155757994130862E-2</v>
      </c>
      <c r="I13" s="319">
        <v>1.8812611558277004E-2</v>
      </c>
      <c r="K13" s="316">
        <v>0.90000000000000013</v>
      </c>
      <c r="L13" s="317"/>
    </row>
    <row r="14" spans="1:12">
      <c r="A14" s="312">
        <f t="shared" si="0"/>
        <v>6</v>
      </c>
      <c r="B14" s="313">
        <v>7.2600917253060494E-3</v>
      </c>
      <c r="C14" s="318">
        <v>8.9162921742678529E-3</v>
      </c>
      <c r="D14" s="318">
        <v>1.0557923827412215E-2</v>
      </c>
      <c r="E14" s="318">
        <v>1.2202775830340976E-2</v>
      </c>
      <c r="F14" s="318">
        <v>1.3850756934003675E-2</v>
      </c>
      <c r="G14" s="318">
        <v>1.5501779228651865E-2</v>
      </c>
      <c r="H14" s="318">
        <v>1.7155757994130862E-2</v>
      </c>
      <c r="I14" s="319">
        <v>1.8812611558277004E-2</v>
      </c>
      <c r="K14" s="316">
        <v>0.90000000000000013</v>
      </c>
      <c r="L14" s="317"/>
    </row>
    <row r="15" spans="1:12">
      <c r="A15" s="312">
        <f t="shared" si="0"/>
        <v>7</v>
      </c>
      <c r="B15" s="313">
        <v>6.4433314062091176E-3</v>
      </c>
      <c r="C15" s="318">
        <v>7.9132093046627196E-3</v>
      </c>
      <c r="D15" s="318">
        <v>9.3701573968283415E-3</v>
      </c>
      <c r="E15" s="318">
        <v>1.0829963549427614E-2</v>
      </c>
      <c r="F15" s="318">
        <v>1.229254677892826E-2</v>
      </c>
      <c r="G15" s="318">
        <v>1.375782906542853E-2</v>
      </c>
      <c r="H15" s="318">
        <v>1.5225735219791137E-2</v>
      </c>
      <c r="I15" s="319">
        <v>1.6696192757970841E-2</v>
      </c>
      <c r="K15" s="316">
        <v>0.79875000000000007</v>
      </c>
      <c r="L15" s="317"/>
    </row>
    <row r="16" spans="1:12">
      <c r="A16" s="312">
        <f t="shared" si="0"/>
        <v>8</v>
      </c>
      <c r="B16" s="313">
        <v>4.6283084748826066E-3</v>
      </c>
      <c r="C16" s="318">
        <v>5.6841362610957572E-3</v>
      </c>
      <c r="D16" s="318">
        <v>6.7306764399752876E-3</v>
      </c>
      <c r="E16" s="318">
        <v>7.7792695918423712E-3</v>
      </c>
      <c r="F16" s="318">
        <v>8.8298575454273422E-3</v>
      </c>
      <c r="G16" s="318">
        <v>9.8823842582655645E-3</v>
      </c>
      <c r="H16" s="318">
        <v>1.0936795721258424E-2</v>
      </c>
      <c r="I16" s="319">
        <v>1.1993039868401591E-2</v>
      </c>
      <c r="K16" s="316">
        <v>0.57375000000000009</v>
      </c>
      <c r="L16" s="317"/>
    </row>
    <row r="17" spans="1:12">
      <c r="A17" s="312">
        <f t="shared" si="0"/>
        <v>9</v>
      </c>
      <c r="B17" s="313">
        <v>2.6317832504234428E-3</v>
      </c>
      <c r="C17" s="318">
        <v>3.2321559131720965E-3</v>
      </c>
      <c r="D17" s="318">
        <v>3.8272473874369278E-3</v>
      </c>
      <c r="E17" s="318">
        <v>4.4235062384986035E-3</v>
      </c>
      <c r="F17" s="318">
        <v>5.0208993885763322E-3</v>
      </c>
      <c r="G17" s="318">
        <v>5.6193949703863015E-3</v>
      </c>
      <c r="H17" s="318">
        <v>6.2189622728724371E-3</v>
      </c>
      <c r="I17" s="319">
        <v>6.8195716898754137E-3</v>
      </c>
      <c r="K17" s="316">
        <v>0.32625000000000004</v>
      </c>
      <c r="L17" s="317"/>
    </row>
    <row r="18" spans="1:12">
      <c r="A18" s="312">
        <f t="shared" si="0"/>
        <v>10</v>
      </c>
      <c r="B18" s="313">
        <v>8.1676031909693044E-4</v>
      </c>
      <c r="C18" s="318">
        <v>1.0030828696051333E-3</v>
      </c>
      <c r="D18" s="318">
        <v>1.1877664305838742E-3</v>
      </c>
      <c r="E18" s="318">
        <v>1.3728122809133596E-3</v>
      </c>
      <c r="F18" s="318">
        <v>1.5582101550754134E-3</v>
      </c>
      <c r="G18" s="318">
        <v>1.7439501632233348E-3</v>
      </c>
      <c r="H18" s="318">
        <v>1.9300227743397217E-3</v>
      </c>
      <c r="I18" s="319">
        <v>2.1164188003061626E-3</v>
      </c>
      <c r="K18" s="316">
        <v>0.10125000000000001</v>
      </c>
      <c r="L18" s="317"/>
    </row>
    <row r="19" spans="1:12">
      <c r="A19" s="312">
        <f t="shared" si="0"/>
        <v>11</v>
      </c>
      <c r="B19" s="313">
        <v>6.534082552775444E-4</v>
      </c>
      <c r="C19" s="318">
        <v>8.024662956841067E-4</v>
      </c>
      <c r="D19" s="318">
        <v>9.5021314446709941E-4</v>
      </c>
      <c r="E19" s="318">
        <v>1.0982498247306877E-3</v>
      </c>
      <c r="F19" s="318">
        <v>1.2465681240603308E-3</v>
      </c>
      <c r="G19" s="318">
        <v>1.395160130578668E-3</v>
      </c>
      <c r="H19" s="318">
        <v>1.5440182194717774E-3</v>
      </c>
      <c r="I19" s="319">
        <v>1.6931350402449301E-3</v>
      </c>
      <c r="K19" s="316">
        <v>8.1000000000000016E-2</v>
      </c>
      <c r="L19" s="317"/>
    </row>
    <row r="20" spans="1:12">
      <c r="A20" s="312">
        <f t="shared" si="0"/>
        <v>12</v>
      </c>
      <c r="B20" s="313">
        <v>5.2272660422203552E-4</v>
      </c>
      <c r="C20" s="318">
        <v>6.4197303654728538E-4</v>
      </c>
      <c r="D20" s="318">
        <v>7.6017051557367957E-4</v>
      </c>
      <c r="E20" s="318">
        <v>8.7859985978455029E-4</v>
      </c>
      <c r="F20" s="318">
        <v>9.9725449924826463E-4</v>
      </c>
      <c r="G20" s="318">
        <v>1.1161281044629345E-3</v>
      </c>
      <c r="H20" s="318">
        <v>1.235214575577422E-3</v>
      </c>
      <c r="I20" s="319">
        <v>1.3545080321959442E-3</v>
      </c>
      <c r="K20" s="316">
        <v>6.480000000000001E-2</v>
      </c>
      <c r="L20" s="317"/>
    </row>
    <row r="21" spans="1:12">
      <c r="A21" s="312">
        <f t="shared" si="0"/>
        <v>13</v>
      </c>
      <c r="B21" s="313">
        <v>4.1818128337762844E-4</v>
      </c>
      <c r="C21" s="318">
        <v>5.1357842923782833E-4</v>
      </c>
      <c r="D21" s="318">
        <v>6.0813641245894374E-4</v>
      </c>
      <c r="E21" s="318">
        <v>7.0287988782764029E-4</v>
      </c>
      <c r="F21" s="318">
        <v>7.9780359939861172E-4</v>
      </c>
      <c r="G21" s="318">
        <v>8.9290248357034761E-4</v>
      </c>
      <c r="H21" s="318">
        <v>9.8817166046193767E-4</v>
      </c>
      <c r="I21" s="319">
        <v>1.0836064257567554E-3</v>
      </c>
      <c r="K21" s="316">
        <v>5.1840000000000018E-2</v>
      </c>
      <c r="L21" s="317"/>
    </row>
    <row r="22" spans="1:12">
      <c r="A22" s="312">
        <f t="shared" si="0"/>
        <v>14</v>
      </c>
      <c r="B22" s="313">
        <v>3.3454502670210277E-4</v>
      </c>
      <c r="C22" s="318">
        <v>4.1086274339026266E-4</v>
      </c>
      <c r="D22" s="318">
        <v>4.8650912996715503E-4</v>
      </c>
      <c r="E22" s="318">
        <v>5.6230391026211221E-4</v>
      </c>
      <c r="F22" s="318">
        <v>6.3824287951888938E-4</v>
      </c>
      <c r="G22" s="318">
        <v>7.1432198685627809E-4</v>
      </c>
      <c r="H22" s="318">
        <v>7.905373283695502E-4</v>
      </c>
      <c r="I22" s="319">
        <v>8.6688514060540435E-4</v>
      </c>
      <c r="K22" s="316">
        <v>4.1472000000000016E-2</v>
      </c>
      <c r="L22" s="317"/>
    </row>
    <row r="23" spans="1:12">
      <c r="A23" s="320">
        <f>A22+1</f>
        <v>15</v>
      </c>
      <c r="B23" s="321">
        <v>2.6763602136168225E-4</v>
      </c>
      <c r="C23" s="322">
        <v>3.2869019471221014E-4</v>
      </c>
      <c r="D23" s="322">
        <v>3.8920730397372404E-4</v>
      </c>
      <c r="E23" s="322">
        <v>4.4984312820968978E-4</v>
      </c>
      <c r="F23" s="322">
        <v>5.1059430361511152E-4</v>
      </c>
      <c r="G23" s="322">
        <v>5.7145758948502247E-4</v>
      </c>
      <c r="H23" s="322">
        <v>6.3242986269564018E-4</v>
      </c>
      <c r="I23" s="323">
        <v>6.9350811248432352E-4</v>
      </c>
      <c r="K23" s="316">
        <v>3.3177600000000015E-2</v>
      </c>
      <c r="L23" s="317"/>
    </row>
    <row r="25" spans="1:12">
      <c r="A25" s="305" t="s">
        <v>154</v>
      </c>
    </row>
    <row r="26" spans="1:12">
      <c r="A26" s="305" t="s">
        <v>153</v>
      </c>
    </row>
    <row r="28" spans="1:12">
      <c r="A28" s="324" t="s">
        <v>157</v>
      </c>
    </row>
    <row r="29" spans="1:12">
      <c r="A29" s="305" t="s">
        <v>155</v>
      </c>
    </row>
    <row r="30" spans="1:12">
      <c r="A30" s="305" t="s">
        <v>160</v>
      </c>
    </row>
    <row r="32" spans="1:12">
      <c r="A32" s="324" t="s">
        <v>158</v>
      </c>
    </row>
    <row r="33" spans="1:1">
      <c r="A33" s="305" t="s">
        <v>159</v>
      </c>
    </row>
  </sheetData>
  <mergeCells count="1">
    <mergeCell ref="B7:I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nsvarlig xmlns="011fc384-3d23-4e74-8c99-88fbdd2fa3df">kasperandersen</Ansvarlig>
    <Cirkul_x00e6_renummer xmlns="011fc384-3d23-4e74-8c99-88fbdd2fa3df" xsi:nil="true"/>
    <TaxCatchAll xmlns="d3310490-8aed-43a2-b9cc-0a60e190f092"/>
    <Resume xmlns="011fc384-3d23-4e74-8c99-88fbdd2fa3df" xsi:nil="true"/>
    <HovedSagsID xmlns="011fc384-3d23-4e74-8c99-88fbdd2fa3df" xsi:nil="true"/>
    <GODocID xmlns="011fc384-3d23-4e74-8c99-88fbdd2fa3df">495606</GODocID>
    <Cirkul_x00e6_retype xmlns="011fc384-3d23-4e74-8c99-88fbdd2fa3df">Ikke en information</Cirkul_x00e6_retype>
    <AssociatedMeeting xmlns="011fc384-3d23-4e74-8c99-88fbdd2fa3df" xsi:nil="true"/>
    <Emneord xmlns="011fc384-3d23-4e74-8c99-88fbdd2fa3df" xsi:nil="true"/>
    <receivers xmlns="011fc384-3d23-4e74-8c99-88fbdd2fa3df" xsi:nil="true"/>
    <IsMainDocument xmlns="011fc384-3d23-4e74-8c99-88fbdd2fa3df">false</IsMainDocument>
    <FopCommitteeNames_0 xmlns="011fc384-3d23-4e74-8c99-88fbdd2fa3df">
      <Terms xmlns="http://schemas.microsoft.com/office/infopath/2007/PartnerControls"/>
    </FopCommitteeNames_0>
    <ErEndeligt xmlns="011fc384-3d23-4e74-8c99-88fbdd2fa3df" xsi:nil="true"/>
    <PublishingExpirationDate xmlns="http://schemas.microsoft.com/sharepoint/v3" xsi:nil="true"/>
    <HasAppendix xmlns="011fc384-3d23-4e74-8c99-88fbdd2fa3df">false</HasAppendix>
    <PublishingStartDate xmlns="http://schemas.microsoft.com/sharepoint/v3" xsi:nil="true"/>
    <GODocIDOld xmlns="011fc384-3d23-4e74-8c99-88fbdd2fa3df" xsi:nil="true"/>
    <BilagTilDocIDer xmlns="011fc384-3d23-4e74-8c99-88fbdd2fa3df">[495590:Fælles beregningssatser (bilag 2):1]</BilagTilDocIDer>
    <CommitteeDocType xmlns="011fc384-3d23-4e74-8c99-88fbdd2fa3df">Andet</CommitteeDoc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4D7370DE745A9458E954AA3D5AE89B3" ma:contentTypeVersion="19" ma:contentTypeDescription="Opret et nyt dokument." ma:contentTypeScope="" ma:versionID="43bc79d7edd00e24939fde116712bbb4">
  <xsd:schema xmlns:xsd="http://www.w3.org/2001/XMLSchema" xmlns:xs="http://www.w3.org/2001/XMLSchema" xmlns:p="http://schemas.microsoft.com/office/2006/metadata/properties" xmlns:ns1="http://schemas.microsoft.com/sharepoint/v3" xmlns:ns2="011fc384-3d23-4e74-8c99-88fbdd2fa3df" xmlns:ns3="d3310490-8aed-43a2-b9cc-0a60e190f092" targetNamespace="http://schemas.microsoft.com/office/2006/metadata/properties" ma:root="true" ma:fieldsID="cba44b627a297d9cfa50afa10a740eb8" ns1:_="" ns2:_="" ns3:_="">
    <xsd:import namespace="http://schemas.microsoft.com/sharepoint/v3"/>
    <xsd:import namespace="011fc384-3d23-4e74-8c99-88fbdd2fa3df"/>
    <xsd:import namespace="d3310490-8aed-43a2-b9cc-0a60e190f092"/>
    <xsd:element name="properties">
      <xsd:complexType>
        <xsd:sequence>
          <xsd:element name="documentManagement">
            <xsd:complexType>
              <xsd:all>
                <xsd:element ref="ns1:PublishingStartDate" minOccurs="0"/>
                <xsd:element ref="ns1:PublishingExpirationDate" minOccurs="0"/>
                <xsd:element ref="ns2:Resume" minOccurs="0"/>
                <xsd:element ref="ns2:ErEndeligt" minOccurs="0"/>
                <xsd:element ref="ns2:Emneord" minOccurs="0"/>
                <xsd:element ref="ns2:Cirkul_x00e6_renummer" minOccurs="0"/>
                <xsd:element ref="ns2:HovedSagsID" minOccurs="0"/>
                <xsd:element ref="ns2:receivers" minOccurs="0"/>
                <xsd:element ref="ns2:GODocID" minOccurs="0"/>
                <xsd:element ref="ns2:HasAppendix" minOccurs="0"/>
                <xsd:element ref="ns2:Cirkul_x00e6_retype" minOccurs="0"/>
                <xsd:element ref="ns2:BilagTilDocIDer" minOccurs="0"/>
                <xsd:element ref="ns2:IsMainDocument" minOccurs="0"/>
                <xsd:element ref="ns2:AssociatedMeeting" minOccurs="0"/>
                <xsd:element ref="ns2:Ansvarlig" minOccurs="0"/>
                <xsd:element ref="ns2:CommitteeDocType" minOccurs="0"/>
                <xsd:element ref="ns2:GODocIDOld" minOccurs="0"/>
                <xsd:element ref="ns2:FopCommitteeNames_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1fc384-3d23-4e74-8c99-88fbdd2fa3df" elementFormDefault="qualified">
    <xsd:import namespace="http://schemas.microsoft.com/office/2006/documentManagement/types"/>
    <xsd:import namespace="http://schemas.microsoft.com/office/infopath/2007/PartnerControls"/>
    <xsd:element name="Resume" ma:index="10" nillable="true" ma:displayName="Resume" ma:default="" ma:internalName="Resume">
      <xsd:simpleType>
        <xsd:restriction base="dms:Note"/>
      </xsd:simpleType>
    </xsd:element>
    <xsd:element name="ErEndeligt" ma:index="11" nillable="true" ma:displayName="ErEndeligt" ma:internalName="ErEndeligt">
      <xsd:simpleType>
        <xsd:restriction base="dms:Boolean"/>
      </xsd:simpleType>
    </xsd:element>
    <xsd:element name="Emneord" ma:index="12" nillable="true" ma:displayName="Emneord" ma:internalName="Emneord">
      <xsd:simpleType>
        <xsd:restriction base="dms:Text"/>
      </xsd:simpleType>
    </xsd:element>
    <xsd:element name="Cirkul_x00e6_renummer" ma:index="13" nillable="true" ma:displayName="Informationsnummer" ma:internalName="Cirkul_x00e6_renummer">
      <xsd:simpleType>
        <xsd:restriction base="dms:Text"/>
      </xsd:simpleType>
    </xsd:element>
    <xsd:element name="HovedSagsID" ma:index="14" nillable="true" ma:displayName="HovedSagsID" ma:indexed="true" ma:internalName="HovedSagsID">
      <xsd:simpleType>
        <xsd:restriction base="dms:Text"/>
      </xsd:simpleType>
    </xsd:element>
    <xsd:element name="receivers" ma:index="15" nillable="true" ma:displayName="receivers" ma:indexed="true" ma:internalName="receivers">
      <xsd:simpleType>
        <xsd:restriction base="dms:Text"/>
      </xsd:simpleType>
    </xsd:element>
    <xsd:element name="GODocID" ma:index="16" nillable="true" ma:displayName="GODocID" ma:indexed="true" ma:internalName="GODocID">
      <xsd:simpleType>
        <xsd:restriction base="dms:Text"/>
      </xsd:simpleType>
    </xsd:element>
    <xsd:element name="HasAppendix" ma:index="17" nillable="true" ma:displayName="HasAppendix" ma:internalName="HasAppendix">
      <xsd:simpleType>
        <xsd:restriction base="dms:Boolean"/>
      </xsd:simpleType>
    </xsd:element>
    <xsd:element name="Cirkul_x00e6_retype" ma:index="18" nillable="true" ma:displayName="Informationstype" ma:indexed="true" ma:internalName="Cirkul_x00e6_retype">
      <xsd:simpleType>
        <xsd:restriction base="dms:Text"/>
      </xsd:simpleType>
    </xsd:element>
    <xsd:element name="BilagTilDocIDer" ma:index="19" nillable="true" ma:displayName="BilagTilDocIDer" ma:internalName="BilagTilDocIDer">
      <xsd:simpleType>
        <xsd:restriction base="dms:Note"/>
      </xsd:simpleType>
    </xsd:element>
    <xsd:element name="IsMainDocument" ma:index="20" nillable="true" ma:displayName="IsMainDocument" ma:indexed="true" ma:internalName="IsMainDocument">
      <xsd:simpleType>
        <xsd:restriction base="dms:Boolean"/>
      </xsd:simpleType>
    </xsd:element>
    <xsd:element name="AssociatedMeeting" ma:index="21" nillable="true" ma:displayName="AssociatedMeeting" ma:internalName="AssociatedMeeting">
      <xsd:simpleType>
        <xsd:restriction base="dms:Text"/>
      </xsd:simpleType>
    </xsd:element>
    <xsd:element name="Ansvarlig" ma:index="22" nillable="true" ma:displayName="Ansvarlig" ma:internalName="Ansvarlig">
      <xsd:simpleType>
        <xsd:restriction base="dms:Text"/>
      </xsd:simpleType>
    </xsd:element>
    <xsd:element name="CommitteeDocType" ma:index="23" nillable="true" ma:displayName="CommitteeDocType" ma:internalName="CommitteeDocType">
      <xsd:simpleType>
        <xsd:restriction base="dms:Text"/>
      </xsd:simpleType>
    </xsd:element>
    <xsd:element name="GODocIDOld" ma:index="24" nillable="true" ma:displayName="GODocIDOld" ma:internalName="GODocIDOld">
      <xsd:simpleType>
        <xsd:restriction base="dms:Text">
          <xsd:maxLength value="20"/>
        </xsd:restriction>
      </xsd:simpleType>
    </xsd:element>
    <xsd:element name="FopCommitteeNames_0" ma:index="25" nillable="true" ma:taxonomy="true" ma:internalName="FopCommitteeNames_0" ma:taxonomyFieldName="Udvalg" ma:displayName="Udvalg" ma:fieldId="{72bbe30a-d41f-4f15-8a9c-fa8bf504a0ef}" ma:taxonomyMulti="true" ma:sspId="3cfcbf72-5f5f-44aa-b068-986cc59421ad" ma:termSetId="873e22cc-de8f-41d4-980b-cac21214854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310490-8aed-43a2-b9cc-0a60e190f092"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3202426c-4d6e-4d66-b33f-4ef2930a9987}" ma:internalName="TaxCatchAll" ma:showField="CatchAllData" ma:web="d3310490-8aed-43a2-b9cc-0a60e190f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C7904B941C44314CBEA9E36232BB1917" ma:contentTypeVersion="6" ma:contentTypeDescription="GetOrganized dokument" ma:contentTypeScope="" ma:versionID="36b1154f3eef7afc1aef329139ecf8ca">
  <xsd:schema xmlns:xsd="http://www.w3.org/2001/XMLSchema" xmlns:xs="http://www.w3.org/2001/XMLSchema" xmlns:p="http://schemas.microsoft.com/office/2006/metadata/properties" xmlns:ns1="http://schemas.microsoft.com/sharepoint/v3" xmlns:ns2="E40D62E7-8D4E-417C-85B1-EF1389293457" xmlns:ns3="d46ec46b-c630-409c-be7c-03d21aa24b1e" xmlns:ns4="e40d62e7-8d4e-417c-85b1-ef1389293457" targetNamespace="http://schemas.microsoft.com/office/2006/metadata/properties" ma:root="true" ma:fieldsID="0c99adb01a1c635700e80eb08dc51936" ns1:_="" ns2:_="" ns3:_="" ns4:_="">
    <xsd:import namespace="http://schemas.microsoft.com/sharepoint/v3"/>
    <xsd:import namespace="E40D62E7-8D4E-417C-85B1-EF1389293457"/>
    <xsd:import namespace="d46ec46b-c630-409c-be7c-03d21aa24b1e"/>
    <xsd:import namespace="e40d62e7-8d4e-417c-85b1-ef1389293457"/>
    <xsd:element name="properties">
      <xsd:complexType>
        <xsd:sequence>
          <xsd:element name="documentManagement">
            <xsd:complexType>
              <xsd:all>
                <xsd:element ref="ns2:Classification" minOccurs="0"/>
                <xsd:element ref="ns2:Ansvarlig"/>
                <xsd:element ref="ns2:Afsender" minOccurs="0"/>
                <xsd:element ref="ns2:Resume" minOccurs="0"/>
                <xsd:element ref="ns2:Bem_x00e6_rkninger" minOccurs="0"/>
                <xsd:element ref="ns2:Dokumentdato" minOccurs="0"/>
                <xsd:element ref="ns2:Dokument_x0020_type" minOccurs="0"/>
                <xsd:element ref="ns2:Procesord" minOccurs="0"/>
                <xsd:element ref="ns2:Cirkul_x00e6_renummer" minOccurs="0"/>
                <xsd:element ref="ns2:OldDocID" minOccurs="0"/>
                <xsd:element ref="ns2:MigreretDokument" minOccurs="0"/>
                <xsd:element ref="ns2:KCSagsID" minOccurs="0"/>
                <xsd:element ref="ns2:Publiceringsdato"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c3ccde630d2f46bf94589b3208a8bd7f" minOccurs="0"/>
                <xsd:element ref="ns3:TaxCatchAll" minOccurs="0"/>
                <xsd:element ref="ns2:Er_x0020_publiceret" minOccurs="0"/>
                <xsd:element ref="ns1:CCMMetadataExtractionStatus" minOccurs="0"/>
                <xsd:element ref="ns1:CCMPageCount" minOccurs="0"/>
                <xsd:element ref="ns1:CCMCommentCount" minOccurs="0"/>
                <xsd:element ref="ns1:CCMPreviewAnnotationsTasks" minOccurs="0"/>
                <xsd:element ref="ns1:CCMCognitiveType" minOccurs="0"/>
                <xsd:element ref="ns4:Cirkular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23" nillable="true" ma:displayName="Sags ID" ma:default="Tildeler" ma:internalName="CaseID" ma:readOnly="true">
      <xsd:simpleType>
        <xsd:restriction base="dms:Text"/>
      </xsd:simpleType>
    </xsd:element>
    <xsd:element name="CCMVisualId" ma:index="24" nillable="true" ma:displayName="Sags ID" ma:default="Tildeler" ma:internalName="CCMVisualId" ma:readOnly="true">
      <xsd:simpleType>
        <xsd:restriction base="dms:Text"/>
      </xsd:simpleType>
    </xsd:element>
    <xsd:element name="DocID" ma:index="25" nillable="true" ma:displayName="Dok ID" ma:default="Tildeler" ma:internalName="DocID" ma:readOnly="true">
      <xsd:simpleType>
        <xsd:restriction base="dms:Text"/>
      </xsd:simpleType>
    </xsd:element>
    <xsd:element name="Finalized" ma:index="26" nillable="true" ma:displayName="Endeligt" ma:default="False" ma:internalName="Finalized" ma:readOnly="true">
      <xsd:simpleType>
        <xsd:restriction base="dms:Boolean"/>
      </xsd:simpleType>
    </xsd:element>
    <xsd:element name="Related" ma:index="27" nillable="true" ma:displayName="Vedhæftet dokument" ma:default="False" ma:internalName="Related" ma:readOnly="true">
      <xsd:simpleType>
        <xsd:restriction base="dms:Boolean"/>
      </xsd:simpleType>
    </xsd:element>
    <xsd:element name="RegistrationDate" ma:index="28" nillable="true" ma:displayName="Registrerings dato" ma:format="DateTime" ma:internalName="RegistrationDate" ma:readOnly="true">
      <xsd:simpleType>
        <xsd:restriction base="dms:DateTime"/>
      </xsd:simpleType>
    </xsd:element>
    <xsd:element name="CaseRecordNumber" ma:index="29" nillable="true" ma:displayName="Akt ID" ma:decimals="0" ma:default="0" ma:internalName="CaseRecordNumber" ma:readOnly="true">
      <xsd:simpleType>
        <xsd:restriction base="dms:Number"/>
      </xsd:simpleType>
    </xsd:element>
    <xsd:element name="LocalAttachment" ma:index="30" nillable="true" ma:displayName="Lokalt bilag" ma:default="False" ma:description="" ma:internalName="LocalAttachment" ma:readOnly="true">
      <xsd:simpleType>
        <xsd:restriction base="dms:Boolean"/>
      </xsd:simpleType>
    </xsd:element>
    <xsd:element name="CCMTemplateName" ma:index="31" nillable="true" ma:displayName="Skabelonnavn" ma:internalName="CCMTemplateName" ma:readOnly="true">
      <xsd:simpleType>
        <xsd:restriction base="dms:Text"/>
      </xsd:simpleType>
    </xsd:element>
    <xsd:element name="CCMTemplateVersion" ma:index="32" nillable="true" ma:displayName="Skabelonversion" ma:internalName="CCMTemplateVersion" ma:readOnly="true">
      <xsd:simpleType>
        <xsd:restriction base="dms:Text"/>
      </xsd:simpleType>
    </xsd:element>
    <xsd:element name="CCMTemplateID" ma:index="33" nillable="true" ma:displayName="CCMTemplateID" ma:decimals="0" ma:default="0" ma:hidden="true" ma:internalName="CCMTemplateID" ma:readOnly="true">
      <xsd:simpleType>
        <xsd:restriction base="dms:Number"/>
      </xsd:simpleType>
    </xsd:element>
    <xsd:element name="CCMSystemID" ma:index="34" nillable="true" ma:displayName="CCMSystemID" ma:hidden="true" ma:internalName="CCMSystemID" ma:readOnly="true">
      <xsd:simpleType>
        <xsd:restriction base="dms:Text"/>
      </xsd:simpleType>
    </xsd:element>
    <xsd:element name="WasEncrypted" ma:index="35" nillable="true" ma:displayName="Krypteret" ma:default="False" ma:internalName="WasEncrypted" ma:readOnly="true">
      <xsd:simpleType>
        <xsd:restriction base="dms:Boolean"/>
      </xsd:simpleType>
    </xsd:element>
    <xsd:element name="WasSigned" ma:index="36" nillable="true" ma:displayName="Signeret" ma:default="False" ma:internalName="WasSigned" ma:readOnly="true">
      <xsd:simpleType>
        <xsd:restriction base="dms:Boolean"/>
      </xsd:simpleType>
    </xsd:element>
    <xsd:element name="MailHasAttachments" ma:index="37" nillable="true" ma:displayName="E-mail har vedhæftede filer" ma:default="False" ma:internalName="MailHasAttachments" ma:readOnly="true">
      <xsd:simpleType>
        <xsd:restriction base="dms:Boolean"/>
      </xsd:simpleType>
    </xsd:element>
    <xsd:element name="CCMConversation" ma:index="38" nillable="true" ma:displayName="Samtale" ma:description="" ma:internalName="CCMConversation" ma:readOnly="true">
      <xsd:simpleType>
        <xsd:restriction base="dms:Text"/>
      </xsd:simpleType>
    </xsd:element>
    <xsd:element name="CCMMetadataExtractionStatus" ma:index="43"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44" nillable="true" ma:displayName="Sider" ma:decimals="0" ma:description="" ma:internalName="CCMPageCount" ma:readOnly="true">
      <xsd:simpleType>
        <xsd:restriction base="dms:Number"/>
      </xsd:simpleType>
    </xsd:element>
    <xsd:element name="CCMCommentCount" ma:index="45" nillable="true" ma:displayName="Kommentarer" ma:decimals="0" ma:description="" ma:internalName="CCMCommentCount" ma:readOnly="true">
      <xsd:simpleType>
        <xsd:restriction base="dms:Number"/>
      </xsd:simpleType>
    </xsd:element>
    <xsd:element name="CCMPreviewAnnotationsTasks" ma:index="46" nillable="true" ma:displayName="Opgaver" ma:decimals="0" ma:description="" ma:internalName="CCMPreviewAnnotationsTasks" ma:readOnly="true">
      <xsd:simpleType>
        <xsd:restriction base="dms:Number"/>
      </xsd:simpleType>
    </xsd:element>
    <xsd:element name="CCMCognitiveType" ma:index="47"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40D62E7-8D4E-417C-85B1-EF1389293457" elementFormDefault="qualified">
    <xsd:import namespace="http://schemas.microsoft.com/office/2006/documentManagement/types"/>
    <xsd:import namespace="http://schemas.microsoft.com/office/infopath/2007/PartnerControls"/>
    <xsd:element name="Classification" ma:index="2" nillable="true" ma:displayName="Klassifikation" ma:default="Offentlig" ma:internalName="Classification">
      <xsd:simpleType>
        <xsd:restriction base="dms:Choice">
          <xsd:enumeration value="Offentlig"/>
          <xsd:enumeration value="Intern"/>
          <xsd:enumeration value="Fortrolig"/>
        </xsd:restriction>
      </xsd:simpleType>
    </xsd:element>
    <xsd:element name="Ansvarlig" ma:index="3" ma:displayName="Ansvarlig" ma:default="264;#Tom Vile Jensen"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fsender" ma:index="4" nillable="true" ma:displayName="Afsender/Modtager" ma:list="UserInfo" ma:SearchPeopleOnly="false" ma:SharePointGroup="0" ma:internalName="Afsend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ume" ma:index="5" nillable="true" ma:displayName="Resume" ma:internalName="Resume">
      <xsd:simpleType>
        <xsd:restriction base="dms:Note"/>
      </xsd:simpleType>
    </xsd:element>
    <xsd:element name="Bem_x00e6_rkninger" ma:index="6" nillable="true" ma:displayName="Bemærkninger" ma:internalName="Bem_x00e6_rkninger">
      <xsd:simpleType>
        <xsd:restriction base="dms:Note"/>
      </xsd:simpleType>
    </xsd:element>
    <xsd:element name="Dokumentdato" ma:index="7" nillable="true" ma:displayName="Dokumentdato" ma:default="[today]" ma:format="DateOnly" ma:internalName="Dokumentdato">
      <xsd:simpleType>
        <xsd:restriction base="dms:DateTime"/>
      </xsd:simpleType>
    </xsd:element>
    <xsd:element name="Dokument_x0020_type" ma:index="8" nillable="true" ma:displayName="Dokumentkategori" ma:default="Udgående" ma:format="Dropdown" ma:internalName="Dokument_x0020_type">
      <xsd:simpleType>
        <xsd:restriction base="dms:Choice">
          <xsd:enumeration value="Udgående"/>
          <xsd:enumeration value="Indgående"/>
          <xsd:enumeration value="Internt"/>
        </xsd:restriction>
      </xsd:simpleType>
    </xsd:element>
    <xsd:element name="Procesord" ma:index="9" nillable="true" ma:displayName="Dokumenttype" ma:default="Andet" ma:format="Dropdown" ma:internalName="Procesord">
      <xsd:simpleType>
        <xsd:restriction base="dms:Choice">
          <xsd:enumeration value="Afgørelse/dom/kendelse"/>
          <xsd:enumeration value="Aftale/kontrakt"/>
          <xsd:enumeration value="Ansøgning"/>
          <xsd:enumeration value="Bekendtgørelsesdokument"/>
          <xsd:enumeration value="Budget"/>
          <xsd:enumeration value="Cirkulære"/>
          <xsd:enumeration value="Dagsorden"/>
          <xsd:enumeration value="Debatindlæg"/>
          <xsd:enumeration value="Direktivdokument"/>
          <xsd:enumeration value="Faktura/regning"/>
          <xsd:enumeration value="Foredrag"/>
          <xsd:enumeration value="Høringssvar"/>
          <xsd:enumeration value="Kommissorium"/>
          <xsd:enumeration value="Lovdokument"/>
          <xsd:enumeration value="Medlemsinformation"/>
          <xsd:enumeration value="Nyhed"/>
          <xsd:enumeration value="Projektbeskrivelse"/>
          <xsd:enumeration value="Rapport"/>
          <xsd:enumeration value="Referat"/>
          <xsd:enumeration value="Responsum"/>
          <xsd:enumeration value="Talepapir"/>
          <xsd:enumeration value="Vejledning"/>
          <xsd:enumeration value="Årsrapport/regnskab"/>
          <xsd:enumeration value="Andet"/>
        </xsd:restriction>
      </xsd:simpleType>
    </xsd:element>
    <xsd:element name="Cirkul_x00e6_renummer" ma:index="11" nillable="true" ma:displayName="Informationsnummer" ma:internalName="Cirkul_x00e6_renummer">
      <xsd:simpleType>
        <xsd:restriction base="dms:Text">
          <xsd:maxLength value="255"/>
        </xsd:restriction>
      </xsd:simpleType>
    </xsd:element>
    <xsd:element name="OldDocID" ma:index="13" nillable="true" ma:displayName="Gammelt Dokument ID" ma:internalName="OldDocID">
      <xsd:simpleType>
        <xsd:restriction base="dms:Text">
          <xsd:maxLength value="255"/>
        </xsd:restriction>
      </xsd:simpleType>
    </xsd:element>
    <xsd:element name="MigreretDokument" ma:index="14" nillable="true" ma:displayName="Migreret Dokument" ma:default="0" ma:internalName="MigreretDokument">
      <xsd:simpleType>
        <xsd:restriction base="dms:Boolean"/>
      </xsd:simpleType>
    </xsd:element>
    <xsd:element name="KCSagsID" ma:index="15" nillable="true" ma:displayName="KCSagsID" ma:internalName="KCSagsID">
      <xsd:simpleType>
        <xsd:restriction base="dms:Text"/>
      </xsd:simpleType>
    </xsd:element>
    <xsd:element name="Publiceringsdato" ma:index="16" nillable="true" ma:displayName="Publiceringsdato" ma:format="DateTime" ma:internalName="Publiceringsdato">
      <xsd:simpleType>
        <xsd:restriction base="dms:DateTime"/>
      </xsd:simpleType>
    </xsd:element>
    <xsd:element name="c3ccde630d2f46bf94589b3208a8bd7f" ma:index="40" nillable="true" ma:taxonomy="true" ma:internalName="c3ccde630d2f46bf94589b3208a8bd7f" ma:taxonomyFieldName="S_x00f8_geord" ma:displayName="Søgeord" ma:default="" ma:fieldId="{c3ccde63-0d2f-46bf-9458-9b3208a8bd7f}" ma:taxonomyMulti="true" ma:sspId="3cfcbf72-5f5f-44aa-b068-986cc59421ad" ma:termSetId="d89dc692-220b-472a-b5ae-b3693bfdd060" ma:anchorId="00000000-0000-0000-0000-000000000000" ma:open="false" ma:isKeyword="false">
      <xsd:complexType>
        <xsd:sequence>
          <xsd:element ref="pc:Terms" minOccurs="0" maxOccurs="1"/>
        </xsd:sequence>
      </xsd:complexType>
    </xsd:element>
    <xsd:element name="Er_x0020_publiceret" ma:index="42" nillable="true" ma:displayName="Er publiceret" ma:internalName="Er_x0020_publiceret"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46ec46b-c630-409c-be7c-03d21aa24b1e" elementFormDefault="qualified">
    <xsd:import namespace="http://schemas.microsoft.com/office/2006/documentManagement/types"/>
    <xsd:import namespace="http://schemas.microsoft.com/office/infopath/2007/PartnerControls"/>
    <xsd:element name="TaxCatchAll" ma:index="41" nillable="true" ma:displayName="Taxonomy Catch All Column" ma:hidden="true" ma:list="{8d381d31-6452-479c-a382-9834028da8a2}" ma:internalName="TaxCatchAll" ma:showField="CatchAllData" ma:web="d46ec46b-c630-409c-be7c-03d21aa24b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0d62e7-8d4e-417c-85b1-ef1389293457" elementFormDefault="qualified">
    <xsd:import namespace="http://schemas.microsoft.com/office/2006/documentManagement/types"/>
    <xsd:import namespace="http://schemas.microsoft.com/office/infopath/2007/PartnerControls"/>
    <xsd:element name="Cirkulartype" ma:index="48" nillable="true" ma:displayName="Informationskategori" ma:default="Ikke en information" ma:format="Dropdown" ma:internalName="Cirkulartype">
      <xsd:simpleType>
        <xsd:restriction base="dms:Choice">
          <xsd:enumeration value="Ikke en information"/>
          <xsd:enumeration value="Skade information"/>
          <xsd:enumeration value="F&amp;P information"/>
          <xsd:enumeration value="Motor information"/>
          <xsd:enumeration value="Sø information"/>
          <xsd:enumeration value="DFIM information"/>
          <xsd:enumeration value="FAH information"/>
          <xsd:enumeration value="Pant information"/>
          <xsd:enumeration value="Redning information"/>
          <xsd:enumeration value="LP information"/>
          <xsd:enumeration value="Bestyrelsen"/>
          <xsd:enumeration value="FSV inform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09AE4-F7B5-4A14-AC72-54D3EE47797A}">
  <ds:schemaRefs>
    <ds:schemaRef ds:uri="http://schemas.microsoft.com/office/2006/documentManagement/types"/>
    <ds:schemaRef ds:uri="d46ec46b-c630-409c-be7c-03d21aa24b1e"/>
    <ds:schemaRef ds:uri="http://schemas.microsoft.com/sharepoint/v3"/>
    <ds:schemaRef ds:uri="http://purl.org/dc/elements/1.1/"/>
    <ds:schemaRef ds:uri="http://schemas.openxmlformats.org/package/2006/metadata/core-properties"/>
    <ds:schemaRef ds:uri="e40d62e7-8d4e-417c-85b1-ef1389293457"/>
    <ds:schemaRef ds:uri="http://schemas.microsoft.com/office/infopath/2007/PartnerControls"/>
    <ds:schemaRef ds:uri="http://purl.org/dc/terms/"/>
    <ds:schemaRef ds:uri="E40D62E7-8D4E-417C-85B1-EF138929345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E957419-193E-405B-A89D-8ADC317E0946}">
  <ds:schemaRefs>
    <ds:schemaRef ds:uri="http://schemas.microsoft.com/sharepoint/v3/contenttype/forms"/>
  </ds:schemaRefs>
</ds:datastoreItem>
</file>

<file path=customXml/itemProps3.xml><?xml version="1.0" encoding="utf-8"?>
<ds:datastoreItem xmlns:ds="http://schemas.openxmlformats.org/officeDocument/2006/customXml" ds:itemID="{3FA55C62-F68D-4BAD-90E2-D7ECB7FB9471}"/>
</file>

<file path=customXml/itemProps4.xml><?xml version="1.0" encoding="utf-8"?>
<ds:datastoreItem xmlns:ds="http://schemas.openxmlformats.org/officeDocument/2006/customXml" ds:itemID="{66B321ED-481A-4A63-B817-7F781F883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D62E7-8D4E-417C-85B1-EF1389293457"/>
    <ds:schemaRef ds:uri="d46ec46b-c630-409c-be7c-03d21aa24b1e"/>
    <ds:schemaRef ds:uri="e40d62e7-8d4e-417c-85b1-ef13892934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25</vt:i4>
      </vt:variant>
    </vt:vector>
  </HeadingPairs>
  <TitlesOfParts>
    <vt:vector size="25" baseType="lpstr">
      <vt:lpstr>1.a PE buy-out Closed-Ended</vt:lpstr>
      <vt:lpstr>1.b PE buy-out Open-Ended</vt:lpstr>
      <vt:lpstr>1.c PE Venture Closed-Ended</vt:lpstr>
      <vt:lpstr>2.a PE FOF Closed-Ended</vt:lpstr>
      <vt:lpstr>Formlerne for udregningerne</vt:lpstr>
      <vt:lpstr>PE FOF open-ended</vt:lpstr>
      <vt:lpstr>3.a IC FWC Closed-Ended</vt:lpstr>
      <vt:lpstr>3.b IC FWC Open-Ended</vt:lpstr>
      <vt:lpstr>3.c IC PCCL Closed-Ended</vt:lpstr>
      <vt:lpstr>3.d IC OP Closed-Ended</vt:lpstr>
      <vt:lpstr>4.a RE Core Closed-Ended</vt:lpstr>
      <vt:lpstr>4.b RE Core Open-Ended</vt:lpstr>
      <vt:lpstr>RE Core Open-Ended NY</vt:lpstr>
      <vt:lpstr>4.c RE Value-Add Closed-Ended</vt:lpstr>
      <vt:lpstr>4.d RE Opportunistic Closed-End</vt:lpstr>
      <vt:lpstr>5.a INF Core Closed-Ended</vt:lpstr>
      <vt:lpstr>5.b INF Core Open-Ended</vt:lpstr>
      <vt:lpstr>5.c INF Other Closed-Ended</vt:lpstr>
      <vt:lpstr>6.a Forestry Core Closed-Ended</vt:lpstr>
      <vt:lpstr>6.b Forestry Core Open-Ended</vt:lpstr>
      <vt:lpstr>6.c Forestry VA Closed-Ended</vt:lpstr>
      <vt:lpstr>7.a Liquid Alternatives</vt:lpstr>
      <vt:lpstr>7.b Liquid Alternatives - carry</vt:lpstr>
      <vt:lpstr>8.a Direct CO Closed-Ended</vt:lpstr>
      <vt:lpstr>8.b Direct CI Fund Closed-Ended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Fælles beregningssatser (bilag 2)</dc:title>
  <dc:creator>Oliver Nyström</dc:creator>
  <cp:lastModifiedBy>Henning Skovmose Hansen</cp:lastModifiedBy>
  <dcterms:created xsi:type="dcterms:W3CDTF">2021-10-04T11:24:23Z</dcterms:created>
  <dcterms:modified xsi:type="dcterms:W3CDTF">2024-09-23T09:25:56Z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CCMOneDriveID">
    <vt:lpwstr/>
  </property>
  <property fmtid="{D5CDD505-2E9C-101B-9397-08002B2CF9AE}" pid="4" name="CCMOneDriveOwnerID">
    <vt:lpwstr/>
  </property>
  <property fmtid="{D5CDD505-2E9C-101B-9397-08002B2CF9AE}" pid="5" name="ContentTypeId">
    <vt:lpwstr>0x010100F4D7370DE745A9458E954AA3D5AE89B3</vt:lpwstr>
  </property>
  <property fmtid="{D5CDD505-2E9C-101B-9397-08002B2CF9AE}" pid="6" name="CCMOneDriveItemID">
    <vt:lpwstr/>
  </property>
  <property fmtid="{D5CDD505-2E9C-101B-9397-08002B2CF9AE}" pid="7" name="CCMIsSharedOnOneDrive">
    <vt:bool>false</vt:bool>
  </property>
  <property fmtid="{D5CDD505-2E9C-101B-9397-08002B2CF9AE}" pid="8" name="CCMSystem">
    <vt:lpwstr> </vt:lpwstr>
  </property>
  <property fmtid="{D5CDD505-2E9C-101B-9397-08002B2CF9AE}" pid="9" name="Søgeord">
    <vt:lpwstr/>
  </property>
  <property fmtid="{D5CDD505-2E9C-101B-9397-08002B2CF9AE}" pid="10" name="CCMPostListPublishStatus">
    <vt:lpwstr>Afventer godkendelse</vt:lpwstr>
  </property>
  <property fmtid="{D5CDD505-2E9C-101B-9397-08002B2CF9AE}" pid="11" name="CCMMustBeOnPostList">
    <vt:bool>true</vt:bool>
  </property>
  <property fmtid="{D5CDD505-2E9C-101B-9397-08002B2CF9AE}" pid="12" name="CCMCommunication">
    <vt:lpwstr/>
  </property>
</Properties>
</file>